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920C8AED-5190-4B85-AF81-1ADE38ABDADA}" xr6:coauthVersionLast="47" xr6:coauthVersionMax="47" xr10:uidLastSave="{00000000-0000-0000-0000-000000000000}"/>
  <workbookProtection workbookPassword="E1A4" lockStructure="1"/>
  <bookViews>
    <workbookView xWindow="-108" yWindow="-108" windowWidth="23256" windowHeight="125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24" i="5"/>
  <c r="AJ149" i="5"/>
  <c r="AJ167" i="5"/>
  <c r="AJ187" i="5"/>
  <c r="AJ22" i="5"/>
  <c r="AJ68" i="5"/>
  <c r="AJ84" i="5"/>
  <c r="AJ86" i="5"/>
  <c r="AJ141" i="5"/>
  <c r="AJ145" i="5"/>
  <c r="AJ153" i="5"/>
  <c r="AJ157"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J165" i="5" l="1"/>
  <c r="AJ70" i="5"/>
  <c r="AK70" i="5" s="1"/>
  <c r="AJ132" i="5"/>
  <c r="AJ54" i="5"/>
  <c r="AJ116" i="5"/>
  <c r="AJ151" i="5"/>
  <c r="AJ38" i="5"/>
  <c r="AK38" i="5" s="1"/>
  <c r="AJ108" i="5"/>
  <c r="AL108" i="5" s="1"/>
  <c r="AP44" i="4"/>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262" i="2" s="1"/>
  <c r="B143" i="2"/>
  <c r="B134" i="2"/>
  <c r="H37" i="1" s="1"/>
  <c r="B95" i="2"/>
  <c r="B107" i="2"/>
  <c r="AJ49" i="5"/>
  <c r="AK49" i="5" s="1"/>
  <c r="AJ8" i="5"/>
  <c r="AK8" i="5" s="1"/>
  <c r="AJ163" i="5"/>
  <c r="AK163" i="5" s="1"/>
  <c r="AJ130" i="5"/>
  <c r="AK130" i="5" s="1"/>
  <c r="AJ114" i="5"/>
  <c r="AK114" i="5" s="1"/>
  <c r="AJ94" i="5"/>
  <c r="AK94" i="5" s="1"/>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54" i="5"/>
  <c r="AL54" i="5"/>
  <c r="AK22" i="5"/>
  <c r="AL22" i="5"/>
  <c r="AL187" i="5"/>
  <c r="AK187" i="5"/>
  <c r="AK167" i="5"/>
  <c r="AL167" i="5"/>
  <c r="AK149" i="5"/>
  <c r="AL149" i="5"/>
  <c r="AL132" i="5"/>
  <c r="AK132" i="5"/>
  <c r="AL124" i="5"/>
  <c r="AK124" i="5"/>
  <c r="AL116" i="5"/>
  <c r="AK116"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70" i="5" l="1"/>
  <c r="AL100" i="5"/>
  <c r="AL94" i="5"/>
  <c r="AL38" i="5"/>
  <c r="AK108" i="5"/>
  <c r="AK118" i="5"/>
  <c r="AL106" i="5"/>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H551" i="5" s="1"/>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H26" i="5" s="1"/>
  <c r="AG34" i="5"/>
  <c r="AG42" i="5"/>
  <c r="AG32" i="5"/>
  <c r="AI32" i="5" s="1"/>
  <c r="AG48" i="5"/>
  <c r="AH48" i="5" s="1"/>
  <c r="AG46" i="5"/>
  <c r="AI46" i="5" s="1"/>
  <c r="AG63" i="5"/>
  <c r="AG71" i="5"/>
  <c r="AH71" i="5" s="1"/>
  <c r="AG83" i="5"/>
  <c r="AH83" i="5" s="1"/>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H78" i="5" s="1"/>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I186" i="5" s="1"/>
  <c r="AG45" i="5"/>
  <c r="AG77" i="5"/>
  <c r="AG96" i="5"/>
  <c r="AH96" i="5" s="1"/>
  <c r="AG112" i="5"/>
  <c r="AH112" i="5" s="1"/>
  <c r="AG127" i="5"/>
  <c r="AI127" i="5" s="1"/>
  <c r="AG145" i="5"/>
  <c r="AG157" i="5"/>
  <c r="AI157" i="5" s="1"/>
  <c r="AG174" i="5"/>
  <c r="AH174" i="5" s="1"/>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H141" i="5" s="1"/>
  <c r="AG161" i="5"/>
  <c r="AG172" i="5"/>
  <c r="AG181" i="5"/>
  <c r="AH181" i="5" s="1"/>
  <c r="AG192" i="5"/>
  <c r="AH192" i="5" s="1"/>
  <c r="AG201" i="5"/>
  <c r="AG217" i="5"/>
  <c r="AG232" i="5"/>
  <c r="AI232" i="5" s="1"/>
  <c r="AG243" i="5"/>
  <c r="AI243" i="5" s="1"/>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H227" i="5" s="1"/>
  <c r="AG248" i="5"/>
  <c r="AG300" i="5"/>
  <c r="AG312" i="5"/>
  <c r="AI312" i="5" s="1"/>
  <c r="AG321" i="5"/>
  <c r="AI321" i="5" s="1"/>
  <c r="AG327" i="5"/>
  <c r="AH327" i="5" s="1"/>
  <c r="AG334" i="5"/>
  <c r="AG350" i="5"/>
  <c r="AI350" i="5" s="1"/>
  <c r="AG361" i="5"/>
  <c r="AH361" i="5" s="1"/>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H30" i="5" s="1"/>
  <c r="AG38" i="5"/>
  <c r="AG24" i="5"/>
  <c r="AG40" i="5"/>
  <c r="AH40" i="5" s="1"/>
  <c r="AG53" i="5"/>
  <c r="AH53" i="5" s="1"/>
  <c r="AG59" i="5"/>
  <c r="AG67" i="5"/>
  <c r="AG75" i="5"/>
  <c r="AH75" i="5" s="1"/>
  <c r="AG100" i="5"/>
  <c r="AH100" i="5" s="1"/>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I84" i="5" s="1"/>
  <c r="AG92" i="5"/>
  <c r="AG108" i="5"/>
  <c r="AG124" i="5"/>
  <c r="AH124" i="5" s="1"/>
  <c r="AG155" i="5"/>
  <c r="AI155" i="5" s="1"/>
  <c r="AG170" i="5"/>
  <c r="AG185" i="5"/>
  <c r="AG60" i="5"/>
  <c r="AI60" i="5" s="1"/>
  <c r="AG76" i="5"/>
  <c r="AH76" i="5" s="1"/>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H275" i="5" s="1"/>
  <c r="AG283" i="5"/>
  <c r="AG291" i="5"/>
  <c r="AG307" i="5"/>
  <c r="AH307" i="5" s="1"/>
  <c r="AG340" i="5"/>
  <c r="AI340" i="5" s="1"/>
  <c r="AG356" i="5"/>
  <c r="AG368" i="5"/>
  <c r="AG391" i="5"/>
  <c r="AH391" i="5" s="1"/>
  <c r="AG413" i="5"/>
  <c r="AH413" i="5" s="1"/>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H404" i="5" s="1"/>
  <c r="AG420" i="5"/>
  <c r="AG436" i="5"/>
  <c r="AG451" i="5"/>
  <c r="AI451" i="5" s="1"/>
  <c r="AG467" i="5"/>
  <c r="AI467" i="5" s="1"/>
  <c r="AG483" i="5"/>
  <c r="AG187" i="5"/>
  <c r="AG209" i="5"/>
  <c r="AI209" i="5" s="1"/>
  <c r="AG228" i="5"/>
  <c r="AH228" i="5" s="1"/>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H212" i="5" s="1"/>
  <c r="AG235" i="5"/>
  <c r="AG262" i="5"/>
  <c r="AG278" i="5"/>
  <c r="AH278" i="5" s="1"/>
  <c r="AG301" i="5"/>
  <c r="AI301" i="5" s="1"/>
  <c r="AG345" i="5"/>
  <c r="AG369" i="5"/>
  <c r="AG414" i="5"/>
  <c r="AH414" i="5" s="1"/>
  <c r="AG446" i="5"/>
  <c r="AH446" i="5" s="1"/>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H337" i="5" s="1"/>
  <c r="AG353" i="5"/>
  <c r="AG367" i="5"/>
  <c r="AH367" i="5" s="1"/>
  <c r="AG400" i="5"/>
  <c r="AH400" i="5" s="1"/>
  <c r="AG416" i="5"/>
  <c r="AH416" i="5" s="1"/>
  <c r="AG432" i="5"/>
  <c r="AH432" i="5" s="1"/>
  <c r="AG448" i="5"/>
  <c r="AH448" i="5" s="1"/>
  <c r="AG203" i="5"/>
  <c r="AH203" i="5" s="1"/>
  <c r="AG226" i="5"/>
  <c r="AI226" i="5" s="1"/>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H461" i="5" s="1"/>
  <c r="AG478" i="5"/>
  <c r="AG474" i="5"/>
  <c r="AI474" i="5" s="1"/>
  <c r="AG498" i="5"/>
  <c r="AI498" i="5" s="1"/>
  <c r="AG513" i="5"/>
  <c r="AH513" i="5" s="1"/>
  <c r="AG530" i="5"/>
  <c r="AG547" i="5"/>
  <c r="AI547" i="5" s="1"/>
  <c r="AG554" i="5"/>
  <c r="AI554" i="5" s="1"/>
  <c r="AG491" i="5"/>
  <c r="AI491" i="5" s="1"/>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H28" i="5" s="1"/>
  <c r="AG70" i="5"/>
  <c r="AI70" i="5" s="1"/>
  <c r="AG130" i="5"/>
  <c r="AH130" i="5" s="1"/>
  <c r="AG56" i="5"/>
  <c r="AI56" i="5" s="1"/>
  <c r="AG139" i="5"/>
  <c r="AI139" i="5" s="1"/>
  <c r="AG52" i="5"/>
  <c r="AH52" i="5" s="1"/>
  <c r="AG111" i="5"/>
  <c r="AI111" i="5" s="1"/>
  <c r="AG39" i="5"/>
  <c r="AH39" i="5" s="1"/>
  <c r="AG90" i="5"/>
  <c r="AH90" i="5" s="1"/>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H320" i="5" s="1"/>
  <c r="AG333" i="5"/>
  <c r="AG360" i="5"/>
  <c r="AH360" i="5" s="1"/>
  <c r="AG381" i="5"/>
  <c r="AH381" i="5" s="1"/>
  <c r="AG409" i="5"/>
  <c r="AH409" i="5" s="1"/>
  <c r="AG441" i="5"/>
  <c r="AG472" i="5"/>
  <c r="AH472" i="5" s="1"/>
  <c r="AG204" i="5"/>
  <c r="AI204" i="5" s="1"/>
  <c r="AG234" i="5"/>
  <c r="AI234" i="5" s="1"/>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H272" i="5" s="1"/>
  <c r="AG288" i="5"/>
  <c r="AH288" i="5" s="1"/>
  <c r="AG305" i="5"/>
  <c r="AI305" i="5" s="1"/>
  <c r="AG316" i="5"/>
  <c r="AH316" i="5" s="1"/>
  <c r="AG342" i="5"/>
  <c r="AH342" i="5" s="1"/>
  <c r="AG359" i="5"/>
  <c r="AH359" i="5" s="1"/>
  <c r="AG380" i="5"/>
  <c r="AH380" i="5" s="1"/>
  <c r="AG392" i="5"/>
  <c r="AI392" i="5" s="1"/>
  <c r="AG399" i="5"/>
  <c r="AH399" i="5" s="1"/>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H538" i="5" s="1"/>
  <c r="AG462" i="5"/>
  <c r="AG482" i="5"/>
  <c r="AH482" i="5" s="1"/>
  <c r="AG493" i="5"/>
  <c r="AH493" i="5" s="1"/>
  <c r="AG525" i="5"/>
  <c r="AI525" i="5" s="1"/>
  <c r="AG539" i="5"/>
  <c r="AH539" i="5" s="1"/>
  <c r="AG555" i="5"/>
  <c r="AH555" i="5" s="1"/>
  <c r="AG479" i="5"/>
  <c r="AH479" i="5" s="1"/>
  <c r="AG509" i="5"/>
  <c r="AH509" i="5" s="1"/>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H178" i="5" s="1"/>
  <c r="AG198" i="5"/>
  <c r="AH198" i="5" s="1"/>
  <c r="AG223" i="5"/>
  <c r="AH223" i="5" s="1"/>
  <c r="AG250" i="5"/>
  <c r="AI250" i="5" s="1"/>
  <c r="AG270" i="5"/>
  <c r="AH270" i="5" s="1"/>
  <c r="AG286" i="5"/>
  <c r="AI286" i="5" s="1"/>
  <c r="AG315" i="5"/>
  <c r="AH315" i="5" s="1"/>
  <c r="AG357" i="5"/>
  <c r="AI357" i="5" s="1"/>
  <c r="AG395" i="5"/>
  <c r="AH395" i="5" s="1"/>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F214" i="5"/>
  <c r="AF558" i="5"/>
  <c r="AF506" i="5"/>
  <c r="AP506" i="5" s="1"/>
  <c r="AF414" i="5"/>
  <c r="AF21" i="5"/>
  <c r="AF542" i="5"/>
  <c r="AF518" i="5"/>
  <c r="AF486" i="5"/>
  <c r="AF454" i="5"/>
  <c r="AF406" i="5"/>
  <c r="AF342" i="5"/>
  <c r="AF286" i="5"/>
  <c r="AF90" i="5"/>
  <c r="AF446" i="5"/>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F162" i="5"/>
  <c r="AF146" i="5"/>
  <c r="AF114" i="5"/>
  <c r="AP114" i="5" s="1"/>
  <c r="AF82" i="5"/>
  <c r="AF50" i="5"/>
  <c r="AF557" i="5"/>
  <c r="AF525" i="5"/>
  <c r="AF493" i="5"/>
  <c r="AF461" i="5"/>
  <c r="AF429" i="5"/>
  <c r="AF397" i="5"/>
  <c r="AF365" i="5"/>
  <c r="AF305" i="5"/>
  <c r="AF241" i="5"/>
  <c r="AP241" i="5" s="1"/>
  <c r="AF177" i="5"/>
  <c r="AF113" i="5"/>
  <c r="AF436" i="5"/>
  <c r="AF289" i="5"/>
  <c r="AF225" i="5"/>
  <c r="AP225" i="5" s="1"/>
  <c r="AF161" i="5"/>
  <c r="AF97" i="5"/>
  <c r="AP97" i="5" s="1"/>
  <c r="AF300" i="5"/>
  <c r="AF218" i="5"/>
  <c r="AF202" i="5"/>
  <c r="AF186" i="5"/>
  <c r="AF170" i="5"/>
  <c r="AP170" i="5" s="1"/>
  <c r="AF154" i="5"/>
  <c r="AP154" i="5" s="1"/>
  <c r="AF130" i="5"/>
  <c r="AF98" i="5"/>
  <c r="AF66" i="5"/>
  <c r="AP66" i="5" s="1"/>
  <c r="AF32" i="5"/>
  <c r="AF541" i="5"/>
  <c r="AP541" i="5" s="1"/>
  <c r="AF509" i="5"/>
  <c r="AF477" i="5"/>
  <c r="AP477" i="5" s="1"/>
  <c r="AF445" i="5"/>
  <c r="AF413" i="5"/>
  <c r="AF381" i="5"/>
  <c r="AF337" i="5"/>
  <c r="AF273" i="5"/>
  <c r="AF209" i="5"/>
  <c r="AF145" i="5"/>
  <c r="AP145" i="5" s="1"/>
  <c r="AF49" i="5"/>
  <c r="AF134" i="5"/>
  <c r="AP134" i="5" s="1"/>
  <c r="AF118" i="5"/>
  <c r="AP118" i="5" s="1"/>
  <c r="AF102" i="5"/>
  <c r="AF86" i="5"/>
  <c r="AF70" i="5"/>
  <c r="AF54" i="5"/>
  <c r="AF36" i="5"/>
  <c r="AP36" i="5" s="1"/>
  <c r="AF20" i="5"/>
  <c r="AP20" i="5" s="1"/>
  <c r="AF545" i="5"/>
  <c r="AF529" i="5"/>
  <c r="AF513" i="5"/>
  <c r="AF497" i="5"/>
  <c r="AF481" i="5"/>
  <c r="AF465" i="5"/>
  <c r="AF449" i="5"/>
  <c r="AF433" i="5"/>
  <c r="AF417" i="5"/>
  <c r="AF401" i="5"/>
  <c r="AF385" i="5"/>
  <c r="AF369" i="5"/>
  <c r="AF345" i="5"/>
  <c r="AF313" i="5"/>
  <c r="AF281" i="5"/>
  <c r="AF249" i="5"/>
  <c r="AF217" i="5"/>
  <c r="AP217" i="5" s="1"/>
  <c r="AF185" i="5"/>
  <c r="AF153" i="5"/>
  <c r="AF121" i="5"/>
  <c r="AF89" i="5"/>
  <c r="AP89" i="5" s="1"/>
  <c r="AF31" i="5"/>
  <c r="AF508" i="5"/>
  <c r="AF404" i="5"/>
  <c r="AF256" i="5"/>
  <c r="AF81" i="5"/>
  <c r="AP81" i="5" s="1"/>
  <c r="AF556" i="5"/>
  <c r="AP556" i="5" s="1"/>
  <c r="AF492" i="5"/>
  <c r="AF372" i="5"/>
  <c r="AF64" i="5"/>
  <c r="AP64" i="5" s="1"/>
  <c r="AF142" i="5"/>
  <c r="AF126" i="5"/>
  <c r="AF110" i="5"/>
  <c r="AF94" i="5"/>
  <c r="AF78" i="5"/>
  <c r="AP78" i="5" s="1"/>
  <c r="AF62" i="5"/>
  <c r="AP62" i="5" s="1"/>
  <c r="AF46" i="5"/>
  <c r="AF28" i="5"/>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F117" i="5"/>
  <c r="AF101" i="5"/>
  <c r="AF85" i="5"/>
  <c r="AF57" i="5"/>
  <c r="AP57" i="5" s="1"/>
  <c r="AF23" i="5"/>
  <c r="AF532" i="5"/>
  <c r="AF500" i="5"/>
  <c r="AP500" i="5" s="1"/>
  <c r="AF452" i="5"/>
  <c r="AF388" i="5"/>
  <c r="AF320" i="5"/>
  <c r="AF236" i="5"/>
  <c r="AF543" i="5"/>
  <c r="AF192" i="5"/>
  <c r="AF399" i="5"/>
  <c r="AF349" i="5"/>
  <c r="AF333" i="5"/>
  <c r="AF317" i="5"/>
  <c r="AF301" i="5"/>
  <c r="AF285" i="5"/>
  <c r="AF269" i="5"/>
  <c r="AF253" i="5"/>
  <c r="AP253" i="5" s="1"/>
  <c r="AF237" i="5"/>
  <c r="AF221" i="5"/>
  <c r="AF205" i="5"/>
  <c r="AP205" i="5" s="1"/>
  <c r="AF189" i="5"/>
  <c r="AF173" i="5"/>
  <c r="AF157" i="5"/>
  <c r="AF141" i="5"/>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F252" i="5"/>
  <c r="AF232" i="5"/>
  <c r="AF208" i="5"/>
  <c r="AP208" i="5" s="1"/>
  <c r="AF184" i="5"/>
  <c r="AF152" i="5"/>
  <c r="AP152" i="5" s="1"/>
  <c r="AF120" i="5"/>
  <c r="AP120" i="5" s="1"/>
  <c r="AF88" i="5"/>
  <c r="AF56" i="5"/>
  <c r="AP56" i="5" s="1"/>
  <c r="AF26" i="5"/>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F60" i="5"/>
  <c r="AF44" i="5"/>
  <c r="AF30" i="5"/>
  <c r="AF555" i="5"/>
  <c r="AF539" i="5"/>
  <c r="AF523" i="5"/>
  <c r="AF507" i="5"/>
  <c r="AF491" i="5"/>
  <c r="AF475" i="5"/>
  <c r="AF459" i="5"/>
  <c r="AF443" i="5"/>
  <c r="AF427" i="5"/>
  <c r="AP427" i="5" s="1"/>
  <c r="AF411" i="5"/>
  <c r="AF395" i="5"/>
  <c r="AF379" i="5"/>
  <c r="AF363" i="5"/>
  <c r="AP363" i="5" s="1"/>
  <c r="AF347" i="5"/>
  <c r="AF331" i="5"/>
  <c r="AP331" i="5" s="1"/>
  <c r="AF315" i="5"/>
  <c r="AF299" i="5"/>
  <c r="AF283" i="5"/>
  <c r="AP283" i="5" s="1"/>
  <c r="AF267" i="5"/>
  <c r="AF251" i="5"/>
  <c r="AF235" i="5"/>
  <c r="AF219" i="5"/>
  <c r="AF203" i="5"/>
  <c r="AF187" i="5"/>
  <c r="AF171" i="5"/>
  <c r="AF155" i="5"/>
  <c r="AF139" i="5"/>
  <c r="AF123" i="5"/>
  <c r="AF107" i="5"/>
  <c r="AF91" i="5"/>
  <c r="AF75" i="5"/>
  <c r="AF59" i="5"/>
  <c r="AF43" i="5"/>
  <c r="AF7" i="5"/>
  <c r="AP7" i="5" s="1"/>
  <c r="AF9" i="5"/>
  <c r="AF8" i="5"/>
  <c r="AF324" i="5"/>
  <c r="AP324" i="5" s="1"/>
  <c r="AF308" i="5"/>
  <c r="AF292" i="5"/>
  <c r="AP292" i="5" s="1"/>
  <c r="AF276" i="5"/>
  <c r="AF260" i="5"/>
  <c r="AF244" i="5"/>
  <c r="AF228" i="5"/>
  <c r="AF212" i="5"/>
  <c r="AF196" i="5"/>
  <c r="AF180" i="5"/>
  <c r="AP180" i="5" s="1"/>
  <c r="AF164" i="5"/>
  <c r="AF148" i="5"/>
  <c r="AF132" i="5"/>
  <c r="AF116" i="5"/>
  <c r="AF100" i="5"/>
  <c r="AF84" i="5"/>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F259" i="5"/>
  <c r="AF243" i="5"/>
  <c r="AF227" i="5"/>
  <c r="AF211" i="5"/>
  <c r="AF195" i="5"/>
  <c r="AF179" i="5"/>
  <c r="AF163" i="5"/>
  <c r="AF147" i="5"/>
  <c r="AF131" i="5"/>
  <c r="AF115" i="5"/>
  <c r="AF99" i="5"/>
  <c r="AF83" i="5"/>
  <c r="AF67" i="5"/>
  <c r="AP67" i="5" s="1"/>
  <c r="AF51" i="5"/>
  <c r="AP51" i="5" s="1"/>
  <c r="AF12" i="5"/>
  <c r="AP12" i="5" s="1"/>
  <c r="Q10" i="5"/>
  <c r="S10" i="5" s="1"/>
  <c r="AW10" i="5"/>
  <c r="AX10" i="5" s="1"/>
  <c r="B123" i="2"/>
  <c r="B125" i="2" s="1"/>
  <c r="O9" i="5"/>
  <c r="AM9" i="5" s="1"/>
  <c r="AG11" i="5"/>
  <c r="AH522" i="5"/>
  <c r="AI522" i="5"/>
  <c r="AH458" i="5"/>
  <c r="AI458" i="5"/>
  <c r="AH547" i="5"/>
  <c r="AH474" i="5"/>
  <c r="AH412" i="5"/>
  <c r="AI412" i="5"/>
  <c r="AH284" i="5"/>
  <c r="AI284" i="5"/>
  <c r="AI367" i="5"/>
  <c r="AI265" i="5"/>
  <c r="AH265" i="5"/>
  <c r="AI239" i="5"/>
  <c r="AH239" i="5"/>
  <c r="AH207" i="5"/>
  <c r="AI207" i="5"/>
  <c r="AH442" i="5"/>
  <c r="AI442" i="5"/>
  <c r="AH410" i="5"/>
  <c r="AI410" i="5"/>
  <c r="AH334" i="5"/>
  <c r="AI334" i="5"/>
  <c r="AI300" i="5"/>
  <c r="AH300" i="5"/>
  <c r="AI427" i="5"/>
  <c r="AH427" i="5"/>
  <c r="AH382" i="5"/>
  <c r="AI382" i="5"/>
  <c r="AH306" i="5"/>
  <c r="AI306" i="5"/>
  <c r="AH282" i="5"/>
  <c r="AI282" i="5"/>
  <c r="AH217" i="5"/>
  <c r="AI217" i="5"/>
  <c r="AH172" i="5"/>
  <c r="AI172" i="5"/>
  <c r="AH93" i="5"/>
  <c r="AI93" i="5"/>
  <c r="AH72" i="5"/>
  <c r="AI55" i="5"/>
  <c r="AH55" i="5"/>
  <c r="AH114" i="5"/>
  <c r="AI114" i="5"/>
  <c r="AI89" i="5"/>
  <c r="AH89" i="5"/>
  <c r="AI65" i="5"/>
  <c r="AH145" i="5"/>
  <c r="AI145" i="5"/>
  <c r="AH77" i="5"/>
  <c r="AI77" i="5"/>
  <c r="AI148" i="5"/>
  <c r="AH106" i="5"/>
  <c r="AI106" i="5"/>
  <c r="AH74" i="5"/>
  <c r="AI74" i="5"/>
  <c r="AH36" i="5"/>
  <c r="AI36" i="5"/>
  <c r="AH37" i="5"/>
  <c r="AI37" i="5"/>
  <c r="AI29" i="5"/>
  <c r="AH21"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H488" i="5"/>
  <c r="AI488" i="5"/>
  <c r="AH373" i="5"/>
  <c r="AI373" i="5"/>
  <c r="AI360" i="5"/>
  <c r="AH424" i="5"/>
  <c r="AI424" i="5"/>
  <c r="AH363" i="5"/>
  <c r="AI363" i="5"/>
  <c r="AI253" i="5"/>
  <c r="AH253" i="5"/>
  <c r="AI190" i="5"/>
  <c r="AH190" i="5"/>
  <c r="AH180" i="5"/>
  <c r="AI180" i="5"/>
  <c r="AI97" i="5"/>
  <c r="AH97" i="5"/>
  <c r="AI182" i="5"/>
  <c r="AH154" i="5"/>
  <c r="AI154" i="5"/>
  <c r="AH144" i="5"/>
  <c r="AH118" i="5"/>
  <c r="AI118" i="5"/>
  <c r="AH193" i="5"/>
  <c r="AI193" i="5"/>
  <c r="AH152" i="5"/>
  <c r="AI152" i="5"/>
  <c r="AH63" i="5"/>
  <c r="AI63" i="5"/>
  <c r="AH42" i="5"/>
  <c r="AI42"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00" i="5"/>
  <c r="AI500" i="5"/>
  <c r="AH541" i="5"/>
  <c r="AI541" i="5"/>
  <c r="AI515" i="5"/>
  <c r="AH515" i="5"/>
  <c r="AI521" i="5"/>
  <c r="AI260" i="5"/>
  <c r="AI218" i="5"/>
  <c r="AH218" i="5"/>
  <c r="AI202" i="5"/>
  <c r="AH202" i="5"/>
  <c r="AH379" i="5"/>
  <c r="AI379" i="5"/>
  <c r="AH341" i="5"/>
  <c r="AH331" i="5"/>
  <c r="AI331" i="5"/>
  <c r="AI303" i="5"/>
  <c r="AH369" i="5"/>
  <c r="AI369" i="5"/>
  <c r="AH262" i="5"/>
  <c r="AI262" i="5"/>
  <c r="AH169" i="5"/>
  <c r="AH120" i="5"/>
  <c r="AI120" i="5"/>
  <c r="AI81" i="5"/>
  <c r="AI64" i="5"/>
  <c r="AH64" i="5"/>
  <c r="AI173" i="5"/>
  <c r="AH173" i="5"/>
  <c r="AI156" i="5"/>
  <c r="AH156" i="5"/>
  <c r="AH191" i="5"/>
  <c r="AI191" i="5"/>
  <c r="AH167" i="5"/>
  <c r="AI167" i="5"/>
  <c r="AI130" i="5"/>
  <c r="AH62" i="5"/>
  <c r="AI62"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I479" i="5"/>
  <c r="AH559" i="5"/>
  <c r="AI559" i="5"/>
  <c r="AH456" i="5"/>
  <c r="AI456" i="5"/>
  <c r="AI380" i="5"/>
  <c r="AI359" i="5"/>
  <c r="AH246" i="5"/>
  <c r="AH205" i="5"/>
  <c r="AI205" i="5"/>
  <c r="AI435" i="5"/>
  <c r="AI339" i="5"/>
  <c r="AH324" i="5"/>
  <c r="AI324" i="5"/>
  <c r="AH187" i="5"/>
  <c r="AI187" i="5"/>
  <c r="AH436" i="5"/>
  <c r="AI436" i="5"/>
  <c r="AI352" i="5"/>
  <c r="AH352" i="5"/>
  <c r="AH330" i="5"/>
  <c r="AI330" i="5"/>
  <c r="AH251" i="5"/>
  <c r="AI251" i="5"/>
  <c r="AH220" i="5"/>
  <c r="AI220" i="5"/>
  <c r="AI368" i="5"/>
  <c r="AH368" i="5"/>
  <c r="AH291" i="5"/>
  <c r="AI291" i="5"/>
  <c r="AH233" i="5"/>
  <c r="AI233" i="5"/>
  <c r="AI210" i="5"/>
  <c r="AH210" i="5"/>
  <c r="AH166" i="5"/>
  <c r="AI166" i="5"/>
  <c r="AI134" i="5"/>
  <c r="AH134" i="5"/>
  <c r="AI185" i="5"/>
  <c r="AH185" i="5"/>
  <c r="AH108" i="5"/>
  <c r="AI108" i="5"/>
  <c r="AH159" i="5"/>
  <c r="AI159" i="5"/>
  <c r="AI135" i="5"/>
  <c r="AH135" i="5"/>
  <c r="AH47" i="5"/>
  <c r="AI47" i="5"/>
  <c r="AI165" i="5"/>
  <c r="AH165" i="5"/>
  <c r="AH67" i="5"/>
  <c r="AI67" i="5"/>
  <c r="AH24" i="5"/>
  <c r="AI24"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I174" i="5" l="1"/>
  <c r="AI28" i="5"/>
  <c r="AI78" i="5"/>
  <c r="AH354" i="5"/>
  <c r="AI538" i="5"/>
  <c r="AH234" i="5"/>
  <c r="AI337" i="5"/>
  <c r="AI399" i="5"/>
  <c r="AI509" i="5"/>
  <c r="AI551" i="5"/>
  <c r="AI320" i="5"/>
  <c r="AH186" i="5"/>
  <c r="AH243" i="5"/>
  <c r="AI461" i="5"/>
  <c r="AI100" i="5"/>
  <c r="AH60" i="5"/>
  <c r="AI178" i="5"/>
  <c r="AI395" i="5"/>
  <c r="AI361" i="5"/>
  <c r="AH226" i="5"/>
  <c r="AP83" i="5"/>
  <c r="AP320" i="5"/>
  <c r="BI320" i="5" s="1"/>
  <c r="AP404" i="5"/>
  <c r="BI404" i="5" s="1"/>
  <c r="AP413" i="5"/>
  <c r="AQ413" i="5" s="1"/>
  <c r="AI22" i="5"/>
  <c r="AI76" i="5"/>
  <c r="AI413" i="5"/>
  <c r="AI228" i="5"/>
  <c r="AI83" i="5"/>
  <c r="AI141" i="5"/>
  <c r="AP227" i="5"/>
  <c r="BI227" i="5" s="1"/>
  <c r="AP196" i="5"/>
  <c r="BI196" i="5" s="1"/>
  <c r="AP107" i="5"/>
  <c r="AP491" i="5"/>
  <c r="AP76" i="5"/>
  <c r="AR76" i="5" s="1"/>
  <c r="AP551" i="5"/>
  <c r="AP26" i="5"/>
  <c r="AP317" i="5"/>
  <c r="AR317" i="5" s="1"/>
  <c r="AP449" i="5"/>
  <c r="AQ449" i="5" s="1"/>
  <c r="AP509" i="5"/>
  <c r="AQ509" i="5" s="1"/>
  <c r="AP186" i="5"/>
  <c r="AP461" i="5"/>
  <c r="AP466" i="5"/>
  <c r="BI466" i="5" s="1"/>
  <c r="AP30" i="5"/>
  <c r="AP141" i="5"/>
  <c r="AI30" i="5"/>
  <c r="AH84" i="5"/>
  <c r="AI272" i="5"/>
  <c r="AI212" i="5"/>
  <c r="AI446" i="5"/>
  <c r="AI227" i="5"/>
  <c r="AH491" i="5"/>
  <c r="AP243" i="5"/>
  <c r="AP84" i="5"/>
  <c r="BI84" i="5" s="1"/>
  <c r="AP212" i="5"/>
  <c r="BI212" i="5" s="1"/>
  <c r="AP272" i="5"/>
  <c r="AR272" i="5" s="1"/>
  <c r="AP133" i="5"/>
  <c r="AP28" i="5"/>
  <c r="AP31" i="5"/>
  <c r="AQ31" i="5" s="1"/>
  <c r="AP209" i="5"/>
  <c r="AP178" i="5"/>
  <c r="AI275" i="5"/>
  <c r="AI404" i="5"/>
  <c r="AI26" i="5"/>
  <c r="AI90" i="5"/>
  <c r="AI408" i="5"/>
  <c r="AH12" i="5"/>
  <c r="AP100" i="5"/>
  <c r="AP228" i="5"/>
  <c r="AP395" i="5"/>
  <c r="BI395" i="5" s="1"/>
  <c r="AP174" i="5"/>
  <c r="AR174" i="5" s="1"/>
  <c r="AP446" i="5"/>
  <c r="BI446" i="5" s="1"/>
  <c r="AI196" i="5"/>
  <c r="AI319" i="5"/>
  <c r="AP275" i="5"/>
  <c r="AQ275" i="5" s="1"/>
  <c r="AP399" i="5"/>
  <c r="AP337" i="5"/>
  <c r="AP90" i="5"/>
  <c r="BI90" i="5" s="1"/>
  <c r="AP479" i="5"/>
  <c r="AQ479" i="5" s="1"/>
  <c r="AP222" i="5"/>
  <c r="BI222" i="5" s="1"/>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BI538" i="5" s="1"/>
  <c r="AP539" i="5"/>
  <c r="AP402" i="5"/>
  <c r="BI402" i="5" s="1"/>
  <c r="AI440" i="5"/>
  <c r="AH340" i="5"/>
  <c r="AI342" i="5"/>
  <c r="AI192" i="5"/>
  <c r="AI351" i="5"/>
  <c r="AP342" i="5"/>
  <c r="BI342" i="5" s="1"/>
  <c r="AI184" i="5"/>
  <c r="AI164" i="5"/>
  <c r="AP139" i="5"/>
  <c r="BI139" i="5" s="1"/>
  <c r="AP85" i="5"/>
  <c r="BI85" i="5" s="1"/>
  <c r="AP434" i="5"/>
  <c r="BI434" i="5" s="1"/>
  <c r="AH155" i="5"/>
  <c r="AH525" i="5"/>
  <c r="AI270" i="5"/>
  <c r="AI279" i="5"/>
  <c r="AI112" i="5"/>
  <c r="AH535" i="5"/>
  <c r="AP467" i="5"/>
  <c r="AQ467" i="5" s="1"/>
  <c r="AP155" i="5"/>
  <c r="AR155" i="5" s="1"/>
  <c r="AP279" i="5"/>
  <c r="AQ279" i="5" s="1"/>
  <c r="AP473" i="5"/>
  <c r="AI409" i="5"/>
  <c r="AI58" i="5"/>
  <c r="AP99" i="5"/>
  <c r="BI99" i="5" s="1"/>
  <c r="AP351" i="5"/>
  <c r="BI351" i="5" s="1"/>
  <c r="AP192" i="5"/>
  <c r="BI192" i="5" s="1"/>
  <c r="AH99" i="5"/>
  <c r="AH403" i="5"/>
  <c r="AI85" i="5"/>
  <c r="AH301" i="5"/>
  <c r="AH485" i="5"/>
  <c r="AI91" i="5"/>
  <c r="AI136" i="5"/>
  <c r="AP184" i="5"/>
  <c r="BI184" i="5" s="1"/>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Q388" i="5" s="1"/>
  <c r="AP340" i="5"/>
  <c r="AQ340" i="5" s="1"/>
  <c r="AP513" i="5"/>
  <c r="AR513" i="5" s="1"/>
  <c r="AI503" i="5"/>
  <c r="AH177" i="5"/>
  <c r="AI466" i="5"/>
  <c r="AH321" i="5"/>
  <c r="AP313" i="5"/>
  <c r="BI313" i="5" s="1"/>
  <c r="AP354" i="5"/>
  <c r="BI354" i="5" s="1"/>
  <c r="AP58" i="5"/>
  <c r="AQ58" i="5" s="1"/>
  <c r="AH313" i="5"/>
  <c r="AP503" i="5"/>
  <c r="AQ503" i="5" s="1"/>
  <c r="AP177" i="5"/>
  <c r="AR177" i="5" s="1"/>
  <c r="AP403" i="5"/>
  <c r="BI403" i="5" s="1"/>
  <c r="AP91" i="5"/>
  <c r="AR91" i="5" s="1"/>
  <c r="AP535" i="5"/>
  <c r="AP53" i="5"/>
  <c r="BI53" i="5" s="1"/>
  <c r="AP301" i="5"/>
  <c r="AQ301" i="5" s="1"/>
  <c r="AP409" i="5"/>
  <c r="AQ409" i="5" s="1"/>
  <c r="AH421" i="5"/>
  <c r="AH527" i="5"/>
  <c r="AP260" i="5"/>
  <c r="BI260" i="5" s="1"/>
  <c r="AP299" i="5"/>
  <c r="BI299" i="5" s="1"/>
  <c r="AP518" i="5"/>
  <c r="BI518" i="5" s="1"/>
  <c r="AP219" i="5"/>
  <c r="AQ219" i="5" s="1"/>
  <c r="AP25" i="5"/>
  <c r="BI25" i="5" s="1"/>
  <c r="AI329" i="5"/>
  <c r="AH496" i="5"/>
  <c r="AP440" i="5"/>
  <c r="BI440" i="5" s="1"/>
  <c r="AP520" i="5"/>
  <c r="BI520" i="5" s="1"/>
  <c r="AI302" i="5"/>
  <c r="AP307" i="5"/>
  <c r="BI307" i="5" s="1"/>
  <c r="AP496" i="5"/>
  <c r="BI496" i="5" s="1"/>
  <c r="AP505" i="5"/>
  <c r="BI505" i="5" s="1"/>
  <c r="AP493" i="5"/>
  <c r="BI493" i="5" s="1"/>
  <c r="AP113" i="5"/>
  <c r="AQ113" i="5" s="1"/>
  <c r="AP40" i="5"/>
  <c r="AQ40" i="5" s="1"/>
  <c r="AP250" i="5"/>
  <c r="AQ250" i="5" s="1"/>
  <c r="AH338" i="5"/>
  <c r="AH558" i="5"/>
  <c r="AP326" i="5"/>
  <c r="AR326" i="5" s="1"/>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BI526" i="5" s="1"/>
  <c r="AI129" i="5"/>
  <c r="AH121" i="5"/>
  <c r="AP148" i="5"/>
  <c r="BI148" i="5" s="1"/>
  <c r="AP8" i="5"/>
  <c r="BI8" i="5" s="1"/>
  <c r="AN105" i="4"/>
  <c r="AN150" i="4"/>
  <c r="AP430" i="5"/>
  <c r="BI430" i="5" s="1"/>
  <c r="AI208" i="5"/>
  <c r="AH533" i="5"/>
  <c r="AI109" i="5"/>
  <c r="AP296" i="5"/>
  <c r="AQ296" i="5" s="1"/>
  <c r="AP285" i="5"/>
  <c r="AP256" i="5"/>
  <c r="BI256" i="5" s="1"/>
  <c r="AP273" i="5"/>
  <c r="BI273" i="5" s="1"/>
  <c r="AP266" i="5"/>
  <c r="AR266" i="5" s="1"/>
  <c r="AP558" i="5"/>
  <c r="AQ558" i="5" s="1"/>
  <c r="AI110" i="5"/>
  <c r="AI256" i="5"/>
  <c r="AI445" i="5"/>
  <c r="AI125" i="5"/>
  <c r="AI266" i="5"/>
  <c r="AP244" i="5"/>
  <c r="BI244" i="5" s="1"/>
  <c r="AP104" i="5"/>
  <c r="BI104" i="5" s="1"/>
  <c r="AP428" i="5"/>
  <c r="AQ428" i="5" s="1"/>
  <c r="AP109" i="5"/>
  <c r="AQ109" i="5" s="1"/>
  <c r="AP65" i="5"/>
  <c r="BI65" i="5" s="1"/>
  <c r="AH285" i="5"/>
  <c r="AH384" i="5"/>
  <c r="AI508" i="5"/>
  <c r="AP125" i="5"/>
  <c r="BI125" i="5" s="1"/>
  <c r="AI160" i="5"/>
  <c r="AH494" i="5"/>
  <c r="AP504" i="5"/>
  <c r="AR504" i="5" s="1"/>
  <c r="AP280" i="5"/>
  <c r="BI280" i="5" s="1"/>
  <c r="AP169" i="5"/>
  <c r="AQ169" i="5" s="1"/>
  <c r="AP110" i="5"/>
  <c r="AP445" i="5"/>
  <c r="AQ445" i="5" s="1"/>
  <c r="AP116" i="5"/>
  <c r="BI116" i="5" s="1"/>
  <c r="AP384" i="5"/>
  <c r="AQ384" i="5" s="1"/>
  <c r="AP121" i="5"/>
  <c r="AQ121" i="5" s="1"/>
  <c r="AP429" i="5"/>
  <c r="AQ429" i="5" s="1"/>
  <c r="AP182" i="5"/>
  <c r="AQ182" i="5" s="1"/>
  <c r="AH430" i="5"/>
  <c r="AI225" i="5"/>
  <c r="AP495" i="5"/>
  <c r="AQ495" i="5" s="1"/>
  <c r="AP501" i="5"/>
  <c r="AR501" i="5" s="1"/>
  <c r="AP214" i="5"/>
  <c r="AQ214" i="5" s="1"/>
  <c r="AP258" i="5"/>
  <c r="AQ258" i="5" s="1"/>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Q35" i="5" s="1"/>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BI80" i="5" s="1"/>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R350" i="5" s="1"/>
  <c r="AP278" i="5"/>
  <c r="BI278" i="5" s="1"/>
  <c r="AI549" i="5"/>
  <c r="AH510" i="5"/>
  <c r="AH31" i="5"/>
  <c r="AH56" i="5"/>
  <c r="AI372" i="5"/>
  <c r="AI486" i="5"/>
  <c r="AH383" i="5"/>
  <c r="AH68" i="5"/>
  <c r="AI335" i="5"/>
  <c r="AH554" i="5"/>
  <c r="AP336" i="5"/>
  <c r="AP175" i="5"/>
  <c r="AQ175" i="5" s="1"/>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R524" i="5" s="1"/>
  <c r="AP41" i="5"/>
  <c r="BI41" i="5" s="1"/>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BI468" i="5" s="1"/>
  <c r="AI101" i="5"/>
  <c r="AH317" i="5"/>
  <c r="AI532" i="5"/>
  <c r="AH459" i="5"/>
  <c r="AH311" i="5"/>
  <c r="AI406" i="5"/>
  <c r="AH556" i="5"/>
  <c r="AP459" i="5"/>
  <c r="BI459" i="5" s="1"/>
  <c r="AP303" i="5"/>
  <c r="BI303" i="5" s="1"/>
  <c r="AP218" i="5"/>
  <c r="BI218" i="5" s="1"/>
  <c r="AP389" i="5"/>
  <c r="AQ389" i="5" s="1"/>
  <c r="AP485" i="5"/>
  <c r="AQ485" i="5" s="1"/>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BI480" i="5" s="1"/>
  <c r="AP191" i="5"/>
  <c r="BI191" i="5" s="1"/>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Q355" i="5" s="1"/>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108" i="5"/>
  <c r="AQ108" i="5"/>
  <c r="AR108" i="5"/>
  <c r="BI172" i="5"/>
  <c r="AR172" i="5"/>
  <c r="AQ172" i="5"/>
  <c r="BI364" i="5"/>
  <c r="AQ364" i="5"/>
  <c r="AR364"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447" i="5"/>
  <c r="AQ447" i="5"/>
  <c r="AR447" i="5"/>
  <c r="BI96" i="5"/>
  <c r="AQ96" i="5"/>
  <c r="AR96" i="5"/>
  <c r="BI288" i="5"/>
  <c r="AQ288" i="5"/>
  <c r="AR288" i="5"/>
  <c r="AQ352" i="5"/>
  <c r="BI352" i="5"/>
  <c r="AR352" i="5"/>
  <c r="BI133" i="5"/>
  <c r="AR133" i="5"/>
  <c r="AQ133" i="5"/>
  <c r="BI341" i="5"/>
  <c r="AR341" i="5"/>
  <c r="AQ341" i="5"/>
  <c r="BI469" i="5"/>
  <c r="AQ469" i="5"/>
  <c r="AR469" i="5"/>
  <c r="BI74" i="5"/>
  <c r="AQ74" i="5"/>
  <c r="AR74" i="5"/>
  <c r="AR330" i="5"/>
  <c r="BI330" i="5"/>
  <c r="AQ330" i="5"/>
  <c r="BI458" i="5"/>
  <c r="AR458" i="5"/>
  <c r="AQ458" i="5"/>
  <c r="BI522" i="5"/>
  <c r="AR522" i="5"/>
  <c r="AQ522" i="5"/>
  <c r="BI12" i="5"/>
  <c r="AR12" i="5"/>
  <c r="AQ12" i="5"/>
  <c r="BI243" i="5"/>
  <c r="AQ243" i="5"/>
  <c r="AR243" i="5"/>
  <c r="AQ52" i="5"/>
  <c r="BI52" i="5"/>
  <c r="AR52" i="5"/>
  <c r="BI180" i="5"/>
  <c r="AR180" i="5"/>
  <c r="AQ180" i="5"/>
  <c r="BI500" i="5"/>
  <c r="AQ500" i="5"/>
  <c r="AR500" i="5"/>
  <c r="BI89" i="5"/>
  <c r="AQ89" i="5"/>
  <c r="AR89" i="5"/>
  <c r="BI217" i="5"/>
  <c r="AQ217" i="5"/>
  <c r="AR217" i="5"/>
  <c r="BI473" i="5"/>
  <c r="AQ473" i="5"/>
  <c r="AR473" i="5"/>
  <c r="BI78" i="5"/>
  <c r="AR78" i="5"/>
  <c r="AQ78" i="5"/>
  <c r="BI551" i="5"/>
  <c r="AR551" i="5"/>
  <c r="AQ551" i="5"/>
  <c r="AR136" i="5"/>
  <c r="BI136" i="5"/>
  <c r="AQ136" i="5"/>
  <c r="BI200" i="5"/>
  <c r="AR200" i="5"/>
  <c r="AQ200" i="5"/>
  <c r="BI456" i="5"/>
  <c r="AQ456" i="5"/>
  <c r="AR456" i="5"/>
  <c r="AR45" i="5"/>
  <c r="BI45" i="5"/>
  <c r="AQ45" i="5"/>
  <c r="BI253" i="5"/>
  <c r="AR253" i="5"/>
  <c r="AQ253" i="5"/>
  <c r="AR445" i="5"/>
  <c r="BI226" i="5"/>
  <c r="AQ226" i="5"/>
  <c r="AR226" i="5"/>
  <c r="AQ342" i="5"/>
  <c r="AN10" i="5"/>
  <c r="AO10" i="5"/>
  <c r="BI241" i="5"/>
  <c r="AR241" i="5"/>
  <c r="AQ241" i="5"/>
  <c r="AR530" i="5"/>
  <c r="BI530" i="5"/>
  <c r="AQ530" i="5"/>
  <c r="BI339" i="5"/>
  <c r="AQ339" i="5"/>
  <c r="AR339" i="5"/>
  <c r="BI331" i="5"/>
  <c r="AQ331" i="5"/>
  <c r="AR331" i="5"/>
  <c r="BI539" i="5"/>
  <c r="AR539" i="5"/>
  <c r="AQ539" i="5"/>
  <c r="BI188" i="5"/>
  <c r="AQ188" i="5"/>
  <c r="AR188" i="5"/>
  <c r="AR316" i="5"/>
  <c r="AQ97" i="5"/>
  <c r="BI97" i="5"/>
  <c r="AR97" i="5"/>
  <c r="BI225" i="5"/>
  <c r="AR225" i="5"/>
  <c r="AQ225" i="5"/>
  <c r="BI20" i="5"/>
  <c r="AQ20" i="5"/>
  <c r="AR20" i="5"/>
  <c r="BI47" i="5"/>
  <c r="AQ47" i="5"/>
  <c r="AR47" i="5"/>
  <c r="BI175" i="5"/>
  <c r="AQ239" i="5"/>
  <c r="BI239" i="5"/>
  <c r="AR239" i="5"/>
  <c r="BI399" i="5"/>
  <c r="AQ399" i="5"/>
  <c r="AR399" i="5"/>
  <c r="BI240" i="5"/>
  <c r="AQ240" i="5"/>
  <c r="AR240" i="5"/>
  <c r="BI304" i="5"/>
  <c r="AQ304" i="5"/>
  <c r="AR304" i="5"/>
  <c r="BI368" i="5"/>
  <c r="AR368" i="5"/>
  <c r="AQ368" i="5"/>
  <c r="BI154" i="5"/>
  <c r="AR154" i="5"/>
  <c r="AQ154" i="5"/>
  <c r="BI282" i="5"/>
  <c r="AQ282" i="5"/>
  <c r="AR282" i="5"/>
  <c r="BI410" i="5"/>
  <c r="AQ410" i="5"/>
  <c r="AR410" i="5"/>
  <c r="BI51" i="5"/>
  <c r="AR51" i="5"/>
  <c r="AQ51" i="5"/>
  <c r="AQ196" i="5"/>
  <c r="AR324" i="5"/>
  <c r="BI324" i="5"/>
  <c r="AQ324" i="5"/>
  <c r="BI388" i="5"/>
  <c r="AR516" i="5"/>
  <c r="BI516" i="5"/>
  <c r="AQ516" i="5"/>
  <c r="BI233" i="5"/>
  <c r="AR233" i="5"/>
  <c r="AQ233" i="5"/>
  <c r="BI361" i="5"/>
  <c r="AR361" i="5"/>
  <c r="AQ361" i="5"/>
  <c r="BI28" i="5"/>
  <c r="AR28" i="5"/>
  <c r="AQ28"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AQ283" i="5"/>
  <c r="BI283" i="5"/>
  <c r="AR283" i="5"/>
  <c r="BI363" i="5"/>
  <c r="AR363" i="5"/>
  <c r="AQ363" i="5"/>
  <c r="BI427" i="5"/>
  <c r="AR427" i="5"/>
  <c r="AQ427" i="5"/>
  <c r="AQ491" i="5"/>
  <c r="BI491" i="5"/>
  <c r="AR491" i="5"/>
  <c r="BI76" i="5"/>
  <c r="BI204" i="5"/>
  <c r="AQ204" i="5"/>
  <c r="AR204" i="5"/>
  <c r="BI36" i="5"/>
  <c r="AR36" i="5"/>
  <c r="AQ36" i="5"/>
  <c r="BI118" i="5"/>
  <c r="AR118" i="5"/>
  <c r="AQ118" i="5"/>
  <c r="AR63" i="5"/>
  <c r="BI63" i="5"/>
  <c r="AQ63" i="5"/>
  <c r="BI64" i="5"/>
  <c r="AQ64" i="5"/>
  <c r="AR64" i="5"/>
  <c r="AR256" i="5"/>
  <c r="BI384" i="5"/>
  <c r="BI35" i="5"/>
  <c r="BI165" i="5"/>
  <c r="AQ165" i="5"/>
  <c r="AR165" i="5"/>
  <c r="BI309" i="5"/>
  <c r="AR309" i="5"/>
  <c r="AQ309" i="5"/>
  <c r="BI373" i="5"/>
  <c r="AQ373" i="5"/>
  <c r="AR373" i="5"/>
  <c r="BI106" i="5"/>
  <c r="AQ106" i="5"/>
  <c r="AR106" i="5"/>
  <c r="AR170" i="5"/>
  <c r="BI170" i="5"/>
  <c r="AQ170" i="5"/>
  <c r="BI234" i="5"/>
  <c r="AQ234" i="5"/>
  <c r="AR234" i="5"/>
  <c r="AR67" i="5"/>
  <c r="BI67" i="5"/>
  <c r="AQ67" i="5"/>
  <c r="BI275" i="5"/>
  <c r="AQ22" i="5"/>
  <c r="BI22" i="5"/>
  <c r="AR22" i="5"/>
  <c r="AQ468" i="5"/>
  <c r="BI57" i="5"/>
  <c r="AR57" i="5"/>
  <c r="AQ57" i="5"/>
  <c r="BI110" i="5"/>
  <c r="AR110" i="5"/>
  <c r="AQ110"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BI477" i="5"/>
  <c r="AQ477" i="5"/>
  <c r="AR477" i="5"/>
  <c r="BI541" i="5"/>
  <c r="AR541" i="5"/>
  <c r="AQ541" i="5"/>
  <c r="BI66" i="5"/>
  <c r="AQ66" i="5"/>
  <c r="AR66" i="5"/>
  <c r="AR322" i="5"/>
  <c r="BI322" i="5"/>
  <c r="AQ322" i="5"/>
  <c r="AR25" i="5"/>
  <c r="AK10" i="5"/>
  <c r="AL10" i="5"/>
  <c r="AN9" i="5"/>
  <c r="AO9" i="5"/>
  <c r="AC19" i="5"/>
  <c r="AE19" i="5" s="1"/>
  <c r="BI107" i="5"/>
  <c r="AQ107" i="5"/>
  <c r="AR107" i="5"/>
  <c r="AQ30" i="5"/>
  <c r="BI30" i="5"/>
  <c r="AR30" i="5"/>
  <c r="BI156" i="5"/>
  <c r="AQ156" i="5"/>
  <c r="AR156" i="5"/>
  <c r="AQ220" i="5"/>
  <c r="BI220" i="5"/>
  <c r="AR220" i="5"/>
  <c r="BI284" i="5"/>
  <c r="AQ284" i="5"/>
  <c r="AR284" i="5"/>
  <c r="BI412" i="5"/>
  <c r="AQ412" i="5"/>
  <c r="AR412" i="5"/>
  <c r="BI193" i="5"/>
  <c r="AR193" i="5"/>
  <c r="AQ193" i="5"/>
  <c r="BI337" i="5"/>
  <c r="AQ337" i="5"/>
  <c r="AR337" i="5"/>
  <c r="BI134" i="5"/>
  <c r="AQ134" i="5"/>
  <c r="AR134" i="5"/>
  <c r="BI79" i="5"/>
  <c r="AR79" i="5"/>
  <c r="AQ79" i="5"/>
  <c r="BI207" i="5"/>
  <c r="AQ207" i="5"/>
  <c r="AR207" i="5"/>
  <c r="BI559" i="5"/>
  <c r="AR559" i="5"/>
  <c r="AQ559" i="5"/>
  <c r="AQ80" i="5"/>
  <c r="BI208" i="5"/>
  <c r="AQ208" i="5"/>
  <c r="AR208" i="5"/>
  <c r="BI272" i="5"/>
  <c r="AQ336" i="5"/>
  <c r="BI336" i="5"/>
  <c r="AR336" i="5"/>
  <c r="BI528" i="5"/>
  <c r="AR528" i="5"/>
  <c r="AQ528" i="5"/>
  <c r="AQ186" i="5"/>
  <c r="BI186" i="5"/>
  <c r="AR186" i="5"/>
  <c r="BI506" i="5"/>
  <c r="AR506" i="5"/>
  <c r="AQ506" i="5"/>
  <c r="BI387" i="5"/>
  <c r="AR387" i="5"/>
  <c r="AQ387" i="5"/>
  <c r="BI515" i="5"/>
  <c r="AR515" i="5"/>
  <c r="AQ515" i="5"/>
  <c r="BI100" i="5"/>
  <c r="AQ100" i="5"/>
  <c r="AR100" i="5"/>
  <c r="BI228" i="5"/>
  <c r="AQ228" i="5"/>
  <c r="AR228" i="5"/>
  <c r="BI292" i="5"/>
  <c r="AR292" i="5"/>
  <c r="AQ292" i="5"/>
  <c r="AQ356" i="5"/>
  <c r="BI356" i="5"/>
  <c r="AR356" i="5"/>
  <c r="AQ137" i="5"/>
  <c r="BI137" i="5"/>
  <c r="AR137" i="5"/>
  <c r="BI201" i="5"/>
  <c r="AQ201" i="5"/>
  <c r="AR201" i="5"/>
  <c r="BI265" i="5"/>
  <c r="AQ265" i="5"/>
  <c r="AR265" i="5"/>
  <c r="BI62" i="5"/>
  <c r="AR62" i="5"/>
  <c r="AQ62" i="5"/>
  <c r="AQ190" i="5"/>
  <c r="BI190" i="5"/>
  <c r="AR190" i="5"/>
  <c r="BI254" i="5"/>
  <c r="AQ254" i="5"/>
  <c r="AR254" i="5"/>
  <c r="AR71" i="5"/>
  <c r="BI71" i="5"/>
  <c r="AQ71" i="5"/>
  <c r="BI199" i="5"/>
  <c r="AR199" i="5"/>
  <c r="AQ199" i="5"/>
  <c r="BI535" i="5"/>
  <c r="AR535" i="5"/>
  <c r="AQ535" i="5"/>
  <c r="BI56" i="5"/>
  <c r="AQ56" i="5"/>
  <c r="AR56" i="5"/>
  <c r="BI120" i="5"/>
  <c r="AQ120" i="5"/>
  <c r="AR120" i="5"/>
  <c r="BI376" i="5"/>
  <c r="AR376" i="5"/>
  <c r="AQ376" i="5"/>
  <c r="AQ504" i="5"/>
  <c r="BI27" i="5"/>
  <c r="AQ27" i="5"/>
  <c r="AR27" i="5"/>
  <c r="AQ93" i="5"/>
  <c r="BI93" i="5"/>
  <c r="AR93" i="5"/>
  <c r="BI326" i="5"/>
  <c r="BI37" i="5"/>
  <c r="AR37" i="5"/>
  <c r="AQ37" i="5"/>
  <c r="BI83" i="5"/>
  <c r="AR83" i="5"/>
  <c r="AQ83"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R196" i="5" l="1"/>
  <c r="AQ446" i="5"/>
  <c r="AR413" i="5"/>
  <c r="AR446" i="5"/>
  <c r="BI413" i="5"/>
  <c r="AR509" i="5"/>
  <c r="AR222" i="5"/>
  <c r="BI509" i="5"/>
  <c r="BJ509" i="5" s="1"/>
  <c r="AQ272" i="5"/>
  <c r="AQ222" i="5"/>
  <c r="BI394" i="5"/>
  <c r="AQ184" i="5"/>
  <c r="AQ362" i="5"/>
  <c r="AQ85" i="5"/>
  <c r="AQ174" i="5"/>
  <c r="AR191" i="5"/>
  <c r="AQ177" i="5"/>
  <c r="BI504" i="5"/>
  <c r="AR184" i="5"/>
  <c r="BI174" i="5"/>
  <c r="BJ174" i="5" s="1"/>
  <c r="AQ191" i="5"/>
  <c r="BI177" i="5"/>
  <c r="AR467" i="5"/>
  <c r="AR440" i="5"/>
  <c r="BI510" i="5"/>
  <c r="AR404" i="5"/>
  <c r="AR40" i="5"/>
  <c r="AR109" i="5"/>
  <c r="BI467" i="5"/>
  <c r="AQ440" i="5"/>
  <c r="AR510" i="5"/>
  <c r="AQ227" i="5"/>
  <c r="AQ404" i="5"/>
  <c r="BI40" i="5"/>
  <c r="BI109" i="5"/>
  <c r="AR227" i="5"/>
  <c r="AR449" i="5"/>
  <c r="AQ278" i="5"/>
  <c r="BI428" i="5"/>
  <c r="AQ41" i="5"/>
  <c r="AQ212" i="5"/>
  <c r="AR479" i="5"/>
  <c r="BI449" i="5"/>
  <c r="AR278" i="5"/>
  <c r="AR41" i="5"/>
  <c r="AR212" i="5"/>
  <c r="AR448" i="5"/>
  <c r="BI479" i="5"/>
  <c r="BK479" i="5" s="1"/>
  <c r="AR85" i="5"/>
  <c r="BI317" i="5"/>
  <c r="AR362" i="5"/>
  <c r="BI448" i="5"/>
  <c r="BJ448" i="5" s="1"/>
  <c r="AQ203" i="5"/>
  <c r="AR151" i="5"/>
  <c r="BI383" i="5"/>
  <c r="AR468" i="5"/>
  <c r="BI355" i="5"/>
  <c r="BI258" i="5"/>
  <c r="AR35" i="5"/>
  <c r="AQ256" i="5"/>
  <c r="AR385" i="5"/>
  <c r="AQ76" i="5"/>
  <c r="BI219" i="5"/>
  <c r="AQ538" i="5"/>
  <c r="AR175" i="5"/>
  <c r="BI31" i="5"/>
  <c r="AR342" i="5"/>
  <c r="AQ317" i="5"/>
  <c r="AQ326" i="5"/>
  <c r="AR164" i="5"/>
  <c r="BI495" i="5"/>
  <c r="AQ476" i="5"/>
  <c r="AR388" i="5"/>
  <c r="AR90" i="5"/>
  <c r="BI476" i="5"/>
  <c r="BI379" i="5"/>
  <c r="BJ379" i="5" s="1"/>
  <c r="AR275" i="5"/>
  <c r="AQ90" i="5"/>
  <c r="AQ395" i="5"/>
  <c r="AR139" i="5"/>
  <c r="AR395" i="5"/>
  <c r="AR466" i="5"/>
  <c r="AR53" i="5"/>
  <c r="AR80" i="5"/>
  <c r="AR84" i="5"/>
  <c r="AQ320" i="5"/>
  <c r="BI445" i="5"/>
  <c r="AR355" i="5"/>
  <c r="AQ466" i="5"/>
  <c r="AQ53" i="5"/>
  <c r="AQ84" i="5"/>
  <c r="AR320" i="5"/>
  <c r="AR219" i="5"/>
  <c r="AR538" i="5"/>
  <c r="AR31" i="5"/>
  <c r="BI329" i="5"/>
  <c r="BJ329" i="5" s="1"/>
  <c r="BI485" i="5"/>
  <c r="BI425" i="5"/>
  <c r="AQ350" i="5"/>
  <c r="AR526" i="5"/>
  <c r="AQ492" i="5"/>
  <c r="BI130" i="5"/>
  <c r="BI350" i="5"/>
  <c r="AQ139" i="5"/>
  <c r="BI323" i="5"/>
  <c r="AQ524" i="5"/>
  <c r="AR480" i="5"/>
  <c r="AR258" i="5"/>
  <c r="BI524" i="5"/>
  <c r="AR485" i="5"/>
  <c r="AQ526" i="5"/>
  <c r="AQ480" i="5"/>
  <c r="AR428" i="5"/>
  <c r="BI238" i="5"/>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J267" i="5" s="1"/>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BJ247" i="5" s="1"/>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BJ463" i="5" s="1"/>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BK149" i="5" s="1"/>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J450" i="5"/>
  <c r="BK450" i="5"/>
  <c r="BM450" i="5" s="1"/>
  <c r="BJ477" i="5"/>
  <c r="BK477" i="5"/>
  <c r="BJ205" i="5"/>
  <c r="BK205" i="5"/>
  <c r="BJ488" i="5"/>
  <c r="BK488" i="5"/>
  <c r="BJ232" i="5"/>
  <c r="BK232" i="5"/>
  <c r="BK42" i="5"/>
  <c r="BJ42"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10" i="5"/>
  <c r="BK110" i="5"/>
  <c r="BM110" i="5" s="1"/>
  <c r="BJ441" i="5"/>
  <c r="BK441" i="5"/>
  <c r="BJ404" i="5"/>
  <c r="BK404" i="5"/>
  <c r="BK148" i="5"/>
  <c r="BJ148" i="5"/>
  <c r="BK435" i="5"/>
  <c r="BJ435" i="5"/>
  <c r="BJ147" i="5"/>
  <c r="BK147" i="5"/>
  <c r="BM147" i="5" s="1"/>
  <c r="BK165" i="5"/>
  <c r="BJ165" i="5"/>
  <c r="BK192" i="5"/>
  <c r="BJ192" i="5"/>
  <c r="BJ255" i="5"/>
  <c r="BK255" i="5"/>
  <c r="BK191" i="5"/>
  <c r="BJ191"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K239" i="5"/>
  <c r="BJ239" i="5"/>
  <c r="BJ175" i="5"/>
  <c r="BK175" i="5"/>
  <c r="BJ508" i="5"/>
  <c r="BK508" i="5"/>
  <c r="BJ444" i="5"/>
  <c r="BK444" i="5"/>
  <c r="BK188" i="5"/>
  <c r="BJ188"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K514" i="5" l="1"/>
  <c r="BK329" i="5"/>
  <c r="BJ91" i="5"/>
  <c r="BK409" i="5"/>
  <c r="BK509" i="5"/>
  <c r="BJ479" i="5"/>
  <c r="BK267" i="5"/>
  <c r="BK386" i="5"/>
  <c r="BK448" i="5"/>
  <c r="BK174" i="5"/>
  <c r="BK513" i="5"/>
  <c r="BJ498" i="5"/>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G56" i="4" l="1"/>
  <c r="AI56" i="4" s="1"/>
  <c r="AO127" i="4"/>
  <c r="AG100" i="4"/>
  <c r="AI100" i="4" s="1"/>
  <c r="AR100" i="4" s="1"/>
  <c r="AT100" i="4" s="1"/>
  <c r="AG103" i="4"/>
  <c r="AI103" i="4" s="1"/>
  <c r="AO68" i="4"/>
  <c r="AR68" i="4" s="1"/>
  <c r="AT68" i="4" s="1"/>
  <c r="AO134" i="4"/>
  <c r="AO63" i="4"/>
  <c r="AR63" i="4" s="1"/>
  <c r="AT63" i="4" s="1"/>
  <c r="AG66" i="4"/>
  <c r="AI66" i="4" s="1"/>
  <c r="AR66" i="4" s="1"/>
  <c r="AT66" i="4" s="1"/>
  <c r="AG157" i="4"/>
  <c r="AI157" i="4" s="1"/>
  <c r="AR157" i="4" s="1"/>
  <c r="AT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56" i="4"/>
  <c r="AT56" i="4" s="1"/>
  <c r="AR55" i="4"/>
  <c r="AT55" i="4" s="1"/>
  <c r="AR140" i="4"/>
  <c r="AT140" i="4" s="1"/>
  <c r="AR93" i="4"/>
  <c r="AT93" i="4" s="1"/>
  <c r="AR78" i="4"/>
  <c r="AT78" i="4" s="1"/>
  <c r="AG18" i="4"/>
  <c r="AI18" i="4" s="1"/>
  <c r="AO18" i="4"/>
  <c r="AR96" i="4"/>
  <c r="AT96" i="4" s="1"/>
  <c r="AR142" i="4"/>
  <c r="AT142" i="4" s="1"/>
  <c r="AG9" i="4"/>
  <c r="AI9" i="4" s="1"/>
  <c r="AO9" i="4"/>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<sst xmlns="http://schemas.openxmlformats.org/spreadsheetml/2006/main" count="1018" uniqueCount="591">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</sst>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23" fillId="9" borderId="0" xfId="0" applyFont="1" applyFill="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419.61755240801034</c:v>
                </c:pt>
              </c:numCache>
            </c:numRef>
          </c:xVal>
          <c:yVal>
            <c:numRef>
              <c:f>Loop_Modeling!$BL$11</c:f>
              <c:numCache>
                <c:formatCode>General</c:formatCode>
                <c:ptCount val="1"/>
                <c:pt idx="0">
                  <c:v>29.626847247756572</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-26.433425560905953</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89918.046944573638</c:v>
                </c:pt>
              </c:numCache>
            </c:numRef>
          </c:xVal>
          <c:yVal>
            <c:numRef>
              <c:f>Loop_Modeling!$BL$10</c:f>
              <c:numCache>
                <c:formatCode>General</c:formatCode>
                <c:ptCount val="1"/>
                <c:pt idx="0">
                  <c:v>-29.691866828382651</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18.628185488577568</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-11.785254938207903</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27.345867884163688</c:v>
                </c:pt>
                <c:pt idx="1">
                  <c:v>27.345746245112764</c:v>
                </c:pt>
                <c:pt idx="2">
                  <c:v>27.345618877041797</c:v>
                </c:pt>
                <c:pt idx="3">
                  <c:v>27.345485510302545</c:v>
                </c:pt>
                <c:pt idx="4">
                  <c:v>27.345345862572433</c:v>
                </c:pt>
                <c:pt idx="5">
                  <c:v>27.345199638260741</c:v>
                </c:pt>
                <c:pt idx="6">
                  <c:v>27.345046527886719</c:v>
                </c:pt>
                <c:pt idx="7">
                  <c:v>27.344886207429013</c:v>
                </c:pt>
                <c:pt idx="8">
                  <c:v>27.344718337644544</c:v>
                </c:pt>
                <c:pt idx="9">
                  <c:v>27.34454256335605</c:v>
                </c:pt>
                <c:pt idx="10">
                  <c:v>27.34435851270608</c:v>
                </c:pt>
                <c:pt idx="11">
                  <c:v>27.344165796376771</c:v>
                </c:pt>
                <c:pt idx="12">
                  <c:v>27.343964006772925</c:v>
                </c:pt>
                <c:pt idx="13">
                  <c:v>27.34375271716786</c:v>
                </c:pt>
                <c:pt idx="14">
                  <c:v>27.343531480808764</c:v>
                </c:pt>
                <c:pt idx="15">
                  <c:v>27.343299829981294</c:v>
                </c:pt>
                <c:pt idx="16">
                  <c:v>27.343057275030802</c:v>
                </c:pt>
                <c:pt idx="17">
                  <c:v>27.342803303337831</c:v>
                </c:pt>
                <c:pt idx="18">
                  <c:v>27.342537378247034</c:v>
                </c:pt>
                <c:pt idx="19">
                  <c:v>27.342258937945804</c:v>
                </c:pt>
                <c:pt idx="20">
                  <c:v>27.341967394291782</c:v>
                </c:pt>
                <c:pt idx="21">
                  <c:v>27.341662131586286</c:v>
                </c:pt>
                <c:pt idx="22">
                  <c:v>27.341342505290847</c:v>
                </c:pt>
                <c:pt idx="23">
                  <c:v>27.341007840685624</c:v>
                </c:pt>
                <c:pt idx="24">
                  <c:v>27.340657431465047</c:v>
                </c:pt>
                <c:pt idx="25">
                  <c:v>27.340290538270246</c:v>
                </c:pt>
                <c:pt idx="26">
                  <c:v>27.339906387153409</c:v>
                </c:pt>
                <c:pt idx="27">
                  <c:v>27.339504167972436</c:v>
                </c:pt>
                <c:pt idx="28">
                  <c:v>27.339083032712136</c:v>
                </c:pt>
                <c:pt idx="29">
                  <c:v>27.338642093728645</c:v>
                </c:pt>
                <c:pt idx="30">
                  <c:v>27.338180421914334</c:v>
                </c:pt>
                <c:pt idx="31">
                  <c:v>27.337697044779169</c:v>
                </c:pt>
                <c:pt idx="32">
                  <c:v>27.337190944444952</c:v>
                </c:pt>
                <c:pt idx="33">
                  <c:v>27.336661055548809</c:v>
                </c:pt>
                <c:pt idx="34">
                  <c:v>27.336106263051999</c:v>
                </c:pt>
                <c:pt idx="35">
                  <c:v>27.335525399949937</c:v>
                </c:pt>
                <c:pt idx="36">
                  <c:v>27.334917244878948</c:v>
                </c:pt>
                <c:pt idx="37">
                  <c:v>27.334280519615888</c:v>
                </c:pt>
                <c:pt idx="38">
                  <c:v>27.333613886465674</c:v>
                </c:pt>
                <c:pt idx="39">
                  <c:v>27.332915945531898</c:v>
                </c:pt>
                <c:pt idx="40">
                  <c:v>27.332185231866205</c:v>
                </c:pt>
                <c:pt idx="41">
                  <c:v>27.331420212490691</c:v>
                </c:pt>
                <c:pt idx="42">
                  <c:v>27.330619283288428</c:v>
                </c:pt>
                <c:pt idx="43">
                  <c:v>27.329780765756947</c:v>
                </c:pt>
                <c:pt idx="44">
                  <c:v>27.328902903618481</c:v>
                </c:pt>
                <c:pt idx="45">
                  <c:v>27.32798385928146</c:v>
                </c:pt>
                <c:pt idx="46">
                  <c:v>27.327021710147452</c:v>
                </c:pt>
                <c:pt idx="47">
                  <c:v>27.326014444757654</c:v>
                </c:pt>
                <c:pt idx="48">
                  <c:v>27.324959958771071</c:v>
                </c:pt>
                <c:pt idx="49">
                  <c:v>27.323856050770345</c:v>
                </c:pt>
                <c:pt idx="50">
                  <c:v>27.322700417886381</c:v>
                </c:pt>
                <c:pt idx="51">
                  <c:v>27.321490651235738</c:v>
                </c:pt>
                <c:pt idx="52">
                  <c:v>27.320224231163959</c:v>
                </c:pt>
                <c:pt idx="53">
                  <c:v>27.318898522287181</c:v>
                </c:pt>
                <c:pt idx="54">
                  <c:v>27.317510768324851</c:v>
                </c:pt>
                <c:pt idx="55">
                  <c:v>27.316058086715785</c:v>
                </c:pt>
                <c:pt idx="56">
                  <c:v>27.314537463010321</c:v>
                </c:pt>
                <c:pt idx="57">
                  <c:v>27.312945745030262</c:v>
                </c:pt>
                <c:pt idx="58">
                  <c:v>27.311279636789049</c:v>
                </c:pt>
                <c:pt idx="59">
                  <c:v>27.309535692163767</c:v>
                </c:pt>
                <c:pt idx="60">
                  <c:v>27.30771030831108</c:v>
                </c:pt>
                <c:pt idx="61">
                  <c:v>27.305799718819145</c:v>
                </c:pt>
                <c:pt idx="62">
                  <c:v>27.303799986586629</c:v>
                </c:pt>
                <c:pt idx="63">
                  <c:v>27.301706996421107</c:v>
                </c:pt>
                <c:pt idx="64">
                  <c:v>27.29951644734868</c:v>
                </c:pt>
                <c:pt idx="65">
                  <c:v>27.297223844626227</c:v>
                </c:pt>
                <c:pt idx="66">
                  <c:v>27.294824491448555</c:v>
                </c:pt>
                <c:pt idx="67">
                  <c:v>27.292313480342326</c:v>
                </c:pt>
                <c:pt idx="68">
                  <c:v>27.28968568423976</c:v>
                </c:pt>
                <c:pt idx="69">
                  <c:v>27.286935747223083</c:v>
                </c:pt>
                <c:pt idx="70">
                  <c:v>27.284058074934361</c:v>
                </c:pt>
                <c:pt idx="71">
                  <c:v>27.281046824642594</c:v>
                </c:pt>
                <c:pt idx="72">
                  <c:v>27.277895894962811</c:v>
                </c:pt>
                <c:pt idx="73">
                  <c:v>27.274598915220011</c:v>
                </c:pt>
                <c:pt idx="74">
                  <c:v>27.271149234454445</c:v>
                </c:pt>
                <c:pt idx="75">
                  <c:v>27.267539910062112</c:v>
                </c:pt>
                <c:pt idx="76">
                  <c:v>27.263763696068647</c:v>
                </c:pt>
                <c:pt idx="77">
                  <c:v>27.259813031031914</c:v>
                </c:pt>
                <c:pt idx="78">
                  <c:v>27.25568002557381</c:v>
                </c:pt>
                <c:pt idx="79">
                  <c:v>27.251356449538964</c:v>
                </c:pt>
                <c:pt idx="80">
                  <c:v>27.246833718783105</c:v>
                </c:pt>
                <c:pt idx="81">
                  <c:v>27.242102881592164</c:v>
                </c:pt>
                <c:pt idx="82">
                  <c:v>27.23715460473727</c:v>
                </c:pt>
                <c:pt idx="83">
                  <c:v>27.231979159171303</c:v>
                </c:pt>
                <c:pt idx="84">
                  <c:v>27.226566405375486</c:v>
                </c:pt>
                <c:pt idx="85">
                  <c:v>27.220905778366038</c:v>
                </c:pt>
                <c:pt idx="86">
                  <c:v>27.214986272374588</c:v>
                </c:pt>
                <c:pt idx="87">
                  <c:v>27.20879642521734</c:v>
                </c:pt>
                <c:pt idx="88">
                  <c:v>27.20232430237256</c:v>
                </c:pt>
                <c:pt idx="89">
                  <c:v>27.195557480787542</c:v>
                </c:pt>
                <c:pt idx="90">
                  <c:v>27.188483032441745</c:v>
                </c:pt>
                <c:pt idx="91">
                  <c:v>27.181087507694528</c:v>
                </c:pt>
                <c:pt idx="92">
                  <c:v>27.173356918451852</c:v>
                </c:pt>
                <c:pt idx="93">
                  <c:v>27.165276721189613</c:v>
                </c:pt>
                <c:pt idx="94">
                  <c:v>27.156831799876411</c:v>
                </c:pt>
                <c:pt idx="95">
                  <c:v>27.148006448844761</c:v>
                </c:pt>
                <c:pt idx="96">
                  <c:v>27.138784355662516</c:v>
                </c:pt>
                <c:pt idx="97">
                  <c:v>27.129148584065213</c:v>
                </c:pt>
                <c:pt idx="98">
                  <c:v>27.11908155701407</c:v>
                </c:pt>
                <c:pt idx="99">
                  <c:v>27.108565039951888</c:v>
                </c:pt>
                <c:pt idx="100">
                  <c:v>27.097580124335202</c:v>
                </c:pt>
                <c:pt idx="101">
                  <c:v>27.086107211528549</c:v>
                </c:pt>
                <c:pt idx="102">
                  <c:v>27.074125997154724</c:v>
                </c:pt>
                <c:pt idx="103">
                  <c:v>27.061615456000933</c:v>
                </c:pt>
                <c:pt idx="104">
                  <c:v>27.048553827590851</c:v>
                </c:pt>
                <c:pt idx="105">
                  <c:v>27.034918602538514</c:v>
                </c:pt>
                <c:pt idx="106">
                  <c:v>27.020686509810549</c:v>
                </c:pt>
                <c:pt idx="107">
                  <c:v>27.005833505029528</c:v>
                </c:pt>
                <c:pt idx="108">
                  <c:v>26.990334759961318</c:v>
                </c:pt>
                <c:pt idx="109">
                  <c:v>26.974164653336693</c:v>
                </c:pt>
                <c:pt idx="110">
                  <c:v>26.957296763166191</c:v>
                </c:pt>
                <c:pt idx="111">
                  <c:v>26.939703860715309</c:v>
                </c:pt>
                <c:pt idx="112">
                  <c:v>26.921357906314363</c:v>
                </c:pt>
                <c:pt idx="113">
                  <c:v>26.902230047185448</c:v>
                </c:pt>
                <c:pt idx="114">
                  <c:v>26.88229061747429</c:v>
                </c:pt>
                <c:pt idx="115">
                  <c:v>26.861509140682259</c:v>
                </c:pt>
                <c:pt idx="116">
                  <c:v>26.839854334697041</c:v>
                </c:pt>
                <c:pt idx="117">
                  <c:v>26.817294119625767</c:v>
                </c:pt>
                <c:pt idx="118">
                  <c:v>26.793795628636651</c:v>
                </c:pt>
                <c:pt idx="119">
                  <c:v>26.769325222014942</c:v>
                </c:pt>
                <c:pt idx="120">
                  <c:v>26.743848504640695</c:v>
                </c:pt>
                <c:pt idx="121">
                  <c:v>26.717330347091689</c:v>
                </c:pt>
                <c:pt idx="122">
                  <c:v>26.689734910570188</c:v>
                </c:pt>
                <c:pt idx="123">
                  <c:v>26.661025675847068</c:v>
                </c:pt>
                <c:pt idx="124">
                  <c:v>26.631165476404615</c:v>
                </c:pt>
                <c:pt idx="125">
                  <c:v>26.600116535949979</c:v>
                </c:pt>
                <c:pt idx="126">
                  <c:v>26.567840510453486</c:v>
                </c:pt>
                <c:pt idx="127">
                  <c:v>26.534298534850535</c:v>
                </c:pt>
                <c:pt idx="128">
                  <c:v>26.49945127452137</c:v>
                </c:pt>
                <c:pt idx="129">
                  <c:v>26.463258981640884</c:v>
                </c:pt>
                <c:pt idx="130">
                  <c:v>26.425681556460976</c:v>
                </c:pt>
                <c:pt idx="131">
                  <c:v>26.386678613556708</c:v>
                </c:pt>
                <c:pt idx="132">
                  <c:v>26.346209553032466</c:v>
                </c:pt>
                <c:pt idx="133">
                  <c:v>26.304233636646067</c:v>
                </c:pt>
                <c:pt idx="134">
                  <c:v>26.26071006876753</c:v>
                </c:pt>
                <c:pt idx="135">
                  <c:v>26.215598082043876</c:v>
                </c:pt>
                <c:pt idx="136">
                  <c:v>26.168857027595465</c:v>
                </c:pt>
                <c:pt idx="137">
                  <c:v>26.120446469519301</c:v>
                </c:pt>
                <c:pt idx="138">
                  <c:v>26.070326283423853</c:v>
                </c:pt>
                <c:pt idx="139">
                  <c:v>26.018456758667124</c:v>
                </c:pt>
                <c:pt idx="140">
                  <c:v>25.964798703917872</c:v>
                </c:pt>
                <c:pt idx="141">
                  <c:v>25.909313555605333</c:v>
                </c:pt>
                <c:pt idx="142">
                  <c:v>25.851963488772263</c:v>
                </c:pt>
                <c:pt idx="143">
                  <c:v>25.792711529794182</c:v>
                </c:pt>
                <c:pt idx="144">
                  <c:v>25.731521670380808</c:v>
                </c:pt>
                <c:pt idx="145">
                  <c:v>25.668358982230881</c:v>
                </c:pt>
                <c:pt idx="146">
                  <c:v>25.603189731670135</c:v>
                </c:pt>
                <c:pt idx="147">
                  <c:v>25.535981493569132</c:v>
                </c:pt>
                <c:pt idx="148">
                  <c:v>25.466703263806892</c:v>
                </c:pt>
                <c:pt idx="149">
                  <c:v>25.395325569524925</c:v>
                </c:pt>
                <c:pt idx="150">
                  <c:v>25.321820576401738</c:v>
                </c:pt>
                <c:pt idx="151">
                  <c:v>25.246162192171781</c:v>
                </c:pt>
                <c:pt idx="152">
                  <c:v>25.168326165615099</c:v>
                </c:pt>
                <c:pt idx="153">
                  <c:v>25.088290180256987</c:v>
                </c:pt>
                <c:pt idx="154">
                  <c:v>25.006033942037178</c:v>
                </c:pt>
                <c:pt idx="155">
                  <c:v>24.921539260240007</c:v>
                </c:pt>
                <c:pt idx="156">
                  <c:v>24.834790121018003</c:v>
                </c:pt>
                <c:pt idx="157">
                  <c:v>24.74577275288922</c:v>
                </c:pt>
                <c:pt idx="158">
                  <c:v>24.654475683650663</c:v>
                </c:pt>
                <c:pt idx="159">
                  <c:v>24.560889788212748</c:v>
                </c:pt>
                <c:pt idx="160">
                  <c:v>24.465008326937262</c:v>
                </c:pt>
                <c:pt idx="161">
                  <c:v>24.36682697413929</c:v>
                </c:pt>
                <c:pt idx="162">
                  <c:v>24.266343836499175</c:v>
                </c:pt>
                <c:pt idx="163">
                  <c:v>24.163559461220267</c:v>
                </c:pt>
                <c:pt idx="164">
                  <c:v>24.058476833860976</c:v>
                </c:pt>
                <c:pt idx="165">
                  <c:v>23.951101365858165</c:v>
                </c:pt>
                <c:pt idx="166">
                  <c:v>23.841440871858175</c:v>
                </c:pt>
                <c:pt idx="167">
                  <c:v>23.729505537055935</c:v>
                </c:pt>
                <c:pt idx="168">
                  <c:v>23.6153078748338</c:v>
                </c:pt>
                <c:pt idx="169">
                  <c:v>23.498862675075877</c:v>
                </c:pt>
                <c:pt idx="170">
                  <c:v>23.380186943607455</c:v>
                </c:pt>
                <c:pt idx="171">
                  <c:v>23.259299833283929</c:v>
                </c:pt>
                <c:pt idx="172">
                  <c:v>23.13622256731454</c:v>
                </c:pt>
                <c:pt idx="173">
                  <c:v>23.010978355462409</c:v>
                </c:pt>
                <c:pt idx="174">
                  <c:v>22.883592303807049</c:v>
                </c:pt>
                <c:pt idx="175">
                  <c:v>22.754091318793897</c:v>
                </c:pt>
                <c:pt idx="176">
                  <c:v>22.622504006320248</c:v>
                </c:pt>
                <c:pt idx="177">
                  <c:v>22.488860566626379</c:v>
                </c:pt>
                <c:pt idx="178">
                  <c:v>22.353192685767365</c:v>
                </c:pt>
                <c:pt idx="179">
                  <c:v>22.215533424440402</c:v>
                </c:pt>
                <c:pt idx="180">
                  <c:v>22.075917104932334</c:v>
                </c:pt>
                <c:pt idx="181">
                  <c:v>21.934379196935765</c:v>
                </c:pt>
                <c:pt idx="182">
                  <c:v>21.790956202954138</c:v>
                </c:pt>
                <c:pt idx="183">
                  <c:v>21.645685543987337</c:v>
                </c:pt>
                <c:pt idx="184">
                  <c:v>21.498605446150009</c:v>
                </c:pt>
                <c:pt idx="185">
                  <c:v>21.349754828833905</c:v>
                </c:pt>
                <c:pt idx="186">
                  <c:v>21.199173194977902</c:v>
                </c:pt>
                <c:pt idx="187">
                  <c:v>21.046900523962236</c:v>
                </c:pt>
                <c:pt idx="188">
                  <c:v>20.892977167589123</c:v>
                </c:pt>
                <c:pt idx="189">
                  <c:v>20.737443749563699</c:v>
                </c:pt>
                <c:pt idx="190">
                  <c:v>20.580341068831562</c:v>
                </c:pt>
                <c:pt idx="191">
                  <c:v>20.421710007079959</c:v>
                </c:pt>
                <c:pt idx="192">
                  <c:v>20.261591440655348</c:v>
                </c:pt>
                <c:pt idx="193">
                  <c:v>20.100026157101727</c:v>
                </c:pt>
                <c:pt idx="194">
                  <c:v>19.937054776474085</c:v>
                </c:pt>
                <c:pt idx="195">
                  <c:v>19.772717677536015</c:v>
                </c:pt>
                <c:pt idx="196">
                  <c:v>19.60705492890736</c:v>
                </c:pt>
                <c:pt idx="197">
                  <c:v>19.440106225188238</c:v>
                </c:pt>
                <c:pt idx="198">
                  <c:v>19.271910828047176</c:v>
                </c:pt>
                <c:pt idx="199">
                  <c:v>19.10250751222932</c:v>
                </c:pt>
                <c:pt idx="200">
                  <c:v>18.931934516409932</c:v>
                </c:pt>
                <c:pt idx="201">
                  <c:v>18.760229498791144</c:v>
                </c:pt>
                <c:pt idx="202">
                  <c:v>18.587429497317466</c:v>
                </c:pt>
                <c:pt idx="203">
                  <c:v>18.413570894365474</c:v>
                </c:pt>
                <c:pt idx="204">
                  <c:v>18.238689385744777</c:v>
                </c:pt>
                <c:pt idx="205">
                  <c:v>18.062819953836676</c:v>
                </c:pt>
                <c:pt idx="206">
                  <c:v>17.885996844681806</c:v>
                </c:pt>
                <c:pt idx="207">
                  <c:v>17.708253548823912</c:v>
                </c:pt>
                <c:pt idx="208">
                  <c:v>17.529622785708064</c:v>
                </c:pt>
                <c:pt idx="209">
                  <c:v>17.350136491428529</c:v>
                </c:pt>
                <c:pt idx="210">
                  <c:v>17.169825809621923</c:v>
                </c:pt>
                <c:pt idx="211">
                  <c:v>16.98872108529789</c:v>
                </c:pt>
                <c:pt idx="212">
                  <c:v>16.806851861405619</c:v>
                </c:pt>
                <c:pt idx="213">
                  <c:v>16.624246877932926</c:v>
                </c:pt>
                <c:pt idx="214">
                  <c:v>16.440934073343698</c:v>
                </c:pt>
                <c:pt idx="215">
                  <c:v>16.256940588161576</c:v>
                </c:pt>
                <c:pt idx="216">
                  <c:v>16.072292770515414</c:v>
                </c:pt>
                <c:pt idx="217">
                  <c:v>15.887016183468859</c:v>
                </c:pt>
                <c:pt idx="218">
                  <c:v>15.701135613963935</c:v>
                </c:pt>
                <c:pt idx="219">
                  <c:v>15.514675083216275</c:v>
                </c:pt>
                <c:pt idx="220">
                  <c:v>15.327657858407836</c:v>
                </c:pt>
                <c:pt idx="221">
                  <c:v>15.140106465531103</c:v>
                </c:pt>
                <c:pt idx="222">
                  <c:v>14.952042703249035</c:v>
                </c:pt>
                <c:pt idx="223">
                  <c:v>14.763487657639764</c:v>
                </c:pt>
                <c:pt idx="224">
                  <c:v>14.574461717708068</c:v>
                </c:pt>
                <c:pt idx="225">
                  <c:v>14.384984591550396</c:v>
                </c:pt>
                <c:pt idx="226">
                  <c:v>14.195075323069513</c:v>
                </c:pt>
                <c:pt idx="227">
                  <c:v>14.004752309144283</c:v>
                </c:pt>
                <c:pt idx="228">
                  <c:v>13.814033317165199</c:v>
                </c:pt>
                <c:pt idx="229">
                  <c:v>13.622935502854371</c:v>
                </c:pt>
                <c:pt idx="230">
                  <c:v>13.431475428298366</c:v>
                </c:pt>
                <c:pt idx="231">
                  <c:v>13.239669080124305</c:v>
                </c:pt>
                <c:pt idx="232">
                  <c:v>13.047531887761055</c:v>
                </c:pt>
                <c:pt idx="233">
                  <c:v>12.855078741728638</c:v>
                </c:pt>
                <c:pt idx="234">
                  <c:v>12.662324011909902</c:v>
                </c:pt>
                <c:pt idx="235">
                  <c:v>12.469281565758701</c:v>
                </c:pt>
                <c:pt idx="236">
                  <c:v>12.27596478640756</c:v>
                </c:pt>
                <c:pt idx="237">
                  <c:v>12.082386590641702</c:v>
                </c:pt>
                <c:pt idx="238">
                  <c:v>11.888559446709674</c:v>
                </c:pt>
                <c:pt idx="239">
                  <c:v>11.6944953919461</c:v>
                </c:pt>
                <c:pt idx="240">
                  <c:v>11.500206050185902</c:v>
                </c:pt>
                <c:pt idx="241">
                  <c:v>11.305702648951662</c:v>
                </c:pt>
                <c:pt idx="242">
                  <c:v>11.110996036401197</c:v>
                </c:pt>
                <c:pt idx="243">
                  <c:v>10.916096698023662</c:v>
                </c:pt>
                <c:pt idx="244">
                  <c:v>10.721014773075252</c:v>
                </c:pt>
                <c:pt idx="245">
                  <c:v>10.525760070750604</c:v>
                </c:pt>
                <c:pt idx="246">
                  <c:v>10.330342086084558</c:v>
                </c:pt>
                <c:pt idx="247">
                  <c:v>10.134770015584454</c:v>
                </c:pt>
                <c:pt idx="248">
                  <c:v>9.9390527725935609</c:v>
                </c:pt>
                <c:pt idx="249">
                  <c:v>9.7431990023875716</c:v>
                </c:pt>
                <c:pt idx="250">
                  <c:v>9.5472170970092591</c:v>
                </c:pt>
                <c:pt idx="251">
                  <c:v>9.3511152098463626</c:v>
                </c:pt>
                <c:pt idx="252">
                  <c:v>9.1549012699603711</c:v>
                </c:pt>
                <c:pt idx="253">
                  <c:v>8.958582996174</c:v>
                </c:pt>
                <c:pt idx="254">
                  <c:v>8.7621679109267276</c:v>
                </c:pt>
                <c:pt idx="255">
                  <c:v>8.5656633539095051</c:v>
                </c:pt>
                <c:pt idx="256">
                  <c:v>8.3690764954892938</c:v>
                </c:pt>
                <c:pt idx="257">
                  <c:v>8.1724143499352166</c:v>
                </c:pt>
                <c:pt idx="258">
                  <c:v>7.9756837884601914</c:v>
                </c:pt>
                <c:pt idx="259">
                  <c:v>7.7788915520906095</c:v>
                </c:pt>
                <c:pt idx="260">
                  <c:v>7.5820442643786663</c:v>
                </c:pt>
                <c:pt idx="261">
                  <c:v>7.3851484439714898</c:v>
                </c:pt>
                <c:pt idx="262">
                  <c:v>7.1882105170525401</c:v>
                </c:pt>
                <c:pt idx="263">
                  <c:v>6.9912368296704939</c:v>
                </c:pt>
                <c:pt idx="264">
                  <c:v>6.794233659971626</c:v>
                </c:pt>
                <c:pt idx="265">
                  <c:v>6.5972072303516249</c:v>
                </c:pt>
                <c:pt idx="266">
                  <c:v>6.4001637195440981</c:v>
                </c:pt>
                <c:pt idx="267">
                  <c:v>6.2031092746609948</c:v>
                </c:pt>
                <c:pt idx="268">
                  <c:v>6.0060500232038647</c:v>
                </c:pt>
                <c:pt idx="269">
                  <c:v>5.8089920850615311</c:v>
                </c:pt>
                <c:pt idx="270">
                  <c:v>5.6119415845126248</c:v>
                </c:pt>
                <c:pt idx="271">
                  <c:v>5.4149046622500538</c:v>
                </c:pt>
                <c:pt idx="272">
                  <c:v>5.2178874874450454</c:v>
                </c:pt>
                <c:pt idx="273">
                  <c:v>5.0208962698690733</c:v>
                </c:pt>
                <c:pt idx="274">
                  <c:v>4.8239372720904345</c:v>
                </c:pt>
                <c:pt idx="275">
                  <c:v>4.6270168217657446</c:v>
                </c:pt>
                <c:pt idx="276">
                  <c:v>4.4301413240410641</c:v>
                </c:pt>
                <c:pt idx="277">
                  <c:v>4.2333172740837686</c:v>
                </c:pt>
                <c:pt idx="278">
                  <c:v>4.036551269761687</c:v>
                </c:pt>
                <c:pt idx="279">
                  <c:v>3.8398500244875757</c:v>
                </c:pt>
                <c:pt idx="280">
                  <c:v>3.6432203802474645</c:v>
                </c:pt>
                <c:pt idx="281">
                  <c:v>3.4466693208305572</c:v>
                </c:pt>
                <c:pt idx="282">
                  <c:v>3.2502039852781635</c:v>
                </c:pt>
                <c:pt idx="283">
                  <c:v>3.0538316815700366</c:v>
                </c:pt>
                <c:pt idx="284">
                  <c:v>2.8575599005645436</c:v>
                </c:pt>
                <c:pt idx="285">
                  <c:v>2.6613963302109713</c:v>
                </c:pt>
                <c:pt idx="286">
                  <c:v>2.4653488700503026</c:v>
                </c:pt>
                <c:pt idx="287">
                  <c:v>2.2694256460206228</c:v>
                </c:pt>
                <c:pt idx="288">
                  <c:v>2.0736350255842559</c:v>
                </c:pt>
                <c:pt idx="289">
                  <c:v>1.8779856331920133</c:v>
                </c:pt>
                <c:pt idx="290">
                  <c:v>1.6824863660983231</c:v>
                </c:pt>
                <c:pt idx="291">
                  <c:v>1.4871464105444727</c:v>
                </c:pt>
                <c:pt idx="292">
                  <c:v>1.2919752583200235</c:v>
                </c:pt>
                <c:pt idx="293">
                  <c:v>1.0969827237188601</c:v>
                </c:pt>
                <c:pt idx="294">
                  <c:v>0.90217896089866989</c:v>
                </c:pt>
                <c:pt idx="295">
                  <c:v>0.70757448165660275</c:v>
                </c:pt>
                <c:pt idx="296">
                  <c:v>0.51318017362923096</c:v>
                </c:pt>
                <c:pt idx="297">
                  <c:v>0.31900731892587192</c:v>
                </c:pt>
                <c:pt idx="298">
                  <c:v>0.12506761320127449</c:v>
                </c:pt>
                <c:pt idx="299">
                  <c:v>-6.8626814828516181E-2</c:v>
                </c:pt>
                <c:pt idx="300">
                  <c:v>-0.26206338342239643</c:v>
                </c:pt>
                <c:pt idx="301">
                  <c:v>-0.45522903740382015</c:v>
                </c:pt>
                <c:pt idx="302">
                  <c:v>-0.64811022730519208</c:v>
                </c:pt>
                <c:pt idx="303">
                  <c:v>-0.84069288807113896</c:v>
                </c:pt>
                <c:pt idx="304">
                  <c:v>-1.0329624173286964</c:v>
                </c:pt>
                <c:pt idx="305">
                  <c:v>-1.2249036532351054</c:v>
                </c:pt>
                <c:pt idx="306">
                  <c:v>-1.4165008519173554</c:v>
                </c:pt>
                <c:pt idx="307">
                  <c:v>-1.6077376645219212</c:v>
                </c:pt>
                <c:pt idx="308">
                  <c:v>-1.7985971138968342</c:v>
                </c:pt>
                <c:pt idx="309">
                  <c:v>-1.9890615709335491</c:v>
                </c:pt>
                <c:pt idx="310">
                  <c:v>-2.1791127306003752</c:v>
                </c:pt>
                <c:pt idx="311">
                  <c:v>-2.3687315877044042</c:v>
                </c:pt>
                <c:pt idx="312">
                  <c:v>-2.5578984124271722</c:v>
                </c:pt>
                <c:pt idx="313">
                  <c:v>-2.7465927256807228</c:v>
                </c:pt>
                <c:pt idx="314">
                  <c:v>-2.9347932743432632</c:v>
                </c:pt>
                <c:pt idx="315">
                  <c:v>-3.1224780064362552</c:v>
                </c:pt>
                <c:pt idx="316">
                  <c:v>-3.3096240463148781</c:v>
                </c:pt>
                <c:pt idx="317">
                  <c:v>-3.4962076699517985</c:v>
                </c:pt>
                <c:pt idx="318">
                  <c:v>-3.6822042804019031</c:v>
                </c:pt>
                <c:pt idx="319">
                  <c:v>-3.8675883835461544</c:v>
                </c:pt>
                <c:pt idx="320">
                  <c:v>-4.0523335642222049</c:v>
                </c:pt>
                <c:pt idx="321">
                  <c:v>-4.2364124628585857</c:v>
                </c:pt>
                <c:pt idx="322">
                  <c:v>-4.4197967527419282</c:v>
                </c:pt>
                <c:pt idx="323">
                  <c:v>-4.6024571180562406</c:v>
                </c:pt>
                <c:pt idx="324">
                  <c:v>-4.784363232846526</c:v>
                </c:pt>
                <c:pt idx="325">
                  <c:v>-4.9654837410687556</c:v>
                </c:pt>
                <c:pt idx="326">
                  <c:v>-5.1457862379034527</c:v>
                </c:pt>
                <c:pt idx="327">
                  <c:v>-5.3252372525206439</c:v>
                </c:pt>
                <c:pt idx="328">
                  <c:v>-5.5038022324976685</c:v>
                </c:pt>
                <c:pt idx="329">
                  <c:v>-5.6814455301049902</c:v>
                </c:pt>
                <c:pt idx="330">
                  <c:v>-5.8581303906855613</c:v>
                </c:pt>
                <c:pt idx="331">
                  <c:v>-6.0338189433704041</c:v>
                </c:pt>
                <c:pt idx="332">
                  <c:v>-6.2084721943812013</c:v>
                </c:pt>
                <c:pt idx="333">
                  <c:v>-6.3820500231864461</c:v>
                </c:pt>
                <c:pt idx="334">
                  <c:v>-6.5545111817868769</c:v>
                </c:pt>
                <c:pt idx="335">
                  <c:v>-6.7258132974186369</c:v>
                </c:pt>
                <c:pt idx="336">
                  <c:v>-6.8959128789704529</c:v>
                </c:pt>
                <c:pt idx="337">
                  <c:v>-7.06476532742251</c:v>
                </c:pt>
                <c:pt idx="338">
                  <c:v>-7.2323249506191658</c:v>
                </c:pt>
                <c:pt idx="339">
                  <c:v>-7.3985449826940632</c:v>
                </c:pt>
                <c:pt idx="340">
                  <c:v>-7.5633776084709208</c:v>
                </c:pt>
                <c:pt idx="341">
                  <c:v>-7.7267739931628068</c:v>
                </c:pt>
                <c:pt idx="342">
                  <c:v>-7.8886843176913226</c:v>
                </c:pt>
                <c:pt idx="343">
                  <c:v>-8.0490578199439877</c:v>
                </c:pt>
                <c:pt idx="344">
                  <c:v>-8.2078428422796463</c:v>
                </c:pt>
                <c:pt idx="345">
                  <c:v>-8.3649868855802776</c:v>
                </c:pt>
                <c:pt idx="346">
                  <c:v>-8.5204366701339147</c:v>
                </c:pt>
                <c:pt idx="347">
                  <c:v>-8.6741382036121806</c:v>
                </c:pt>
                <c:pt idx="348">
                  <c:v>-8.8260368563855511</c:v>
                </c:pt>
                <c:pt idx="349">
                  <c:v>-8.9760774443878653</c:v>
                </c:pt>
                <c:pt idx="350">
                  <c:v>-9.1242043197108433</c:v>
                </c:pt>
                <c:pt idx="351">
                  <c:v>-9.270361469071565</c:v>
                </c:pt>
                <c:pt idx="352">
                  <c:v>-9.4144926202506038</c:v>
                </c:pt>
                <c:pt idx="353">
                  <c:v>-9.5565413565524722</c:v>
                </c:pt>
                <c:pt idx="354">
                  <c:v>-9.6964512392861728</c:v>
                </c:pt>
                <c:pt idx="355">
                  <c:v>-9.8341659382029007</c:v>
                </c:pt>
                <c:pt idx="356">
                  <c:v>-9.9696293697684872</c:v>
                </c:pt>
                <c:pt idx="357">
                  <c:v>-10.102785843076639</c:v>
                </c:pt>
                <c:pt idx="358">
                  <c:v>-10.233580213138215</c:v>
                </c:pt>
                <c:pt idx="359">
                  <c:v>-10.361958041206575</c:v>
                </c:pt>
                <c:pt idx="360">
                  <c:v>-10.487865761718302</c:v>
                </c:pt>
                <c:pt idx="361">
                  <c:v>-10.61125085534754</c:v>
                </c:pt>
                <c:pt idx="362">
                  <c:v>-10.732062027589272</c:v>
                </c:pt>
                <c:pt idx="363">
                  <c:v>-10.850249392201313</c:v>
                </c:pt>
                <c:pt idx="364">
                  <c:v>-10.965764658752231</c:v>
                </c:pt>
                <c:pt idx="365">
                  <c:v>-11.078561323436302</c:v>
                </c:pt>
                <c:pt idx="366">
                  <c:v>-11.188594862240045</c:v>
                </c:pt>
                <c:pt idx="367">
                  <c:v>-11.295822925462764</c:v>
                </c:pt>
                <c:pt idx="368">
                  <c:v>-11.400205532523424</c:v>
                </c:pt>
                <c:pt idx="369">
                  <c:v>-11.501705265918554</c:v>
                </c:pt>
                <c:pt idx="370">
                  <c:v>-11.600287463134295</c:v>
                </c:pt>
                <c:pt idx="371">
                  <c:v>-11.695920405265166</c:v>
                </c:pt>
                <c:pt idx="372">
                  <c:v>-11.788575501049438</c:v>
                </c:pt>
                <c:pt idx="373">
                  <c:v>-11.878227464996929</c:v>
                </c:pt>
                <c:pt idx="374">
                  <c:v>-11.964854488266409</c:v>
                </c:pt>
                <c:pt idx="375">
                  <c:v>-12.048438400939652</c:v>
                </c:pt>
                <c:pt idx="376">
                  <c:v>-12.128964824344495</c:v>
                </c:pt>
                <c:pt idx="377">
                  <c:v>-12.206423312096232</c:v>
                </c:pt>
                <c:pt idx="378">
                  <c:v>-12.280807478560119</c:v>
                </c:pt>
                <c:pt idx="379">
                  <c:v>-12.352115113483944</c:v>
                </c:pt>
                <c:pt idx="380">
                  <c:v>-12.420348281609307</c:v>
                </c:pt>
                <c:pt idx="381">
                  <c:v>-12.48551340614827</c:v>
                </c:pt>
                <c:pt idx="382">
                  <c:v>-12.547621335098981</c:v>
                </c:pt>
                <c:pt idx="383">
                  <c:v>-12.606687389477909</c:v>
                </c:pt>
                <c:pt idx="384">
                  <c:v>-12.6627313926639</c:v>
                </c:pt>
                <c:pt idx="385">
                  <c:v>-12.715777680174023</c:v>
                </c:pt>
                <c:pt idx="386">
                  <c:v>-12.765855089333609</c:v>
                </c:pt>
                <c:pt idx="387">
                  <c:v>-12.81299692844911</c:v>
                </c:pt>
                <c:pt idx="388">
                  <c:v>-12.857240925252158</c:v>
                </c:pt>
                <c:pt idx="389">
                  <c:v>-12.898629154542522</c:v>
                </c:pt>
                <c:pt idx="390">
                  <c:v>-12.93720794513388</c:v>
                </c:pt>
                <c:pt idx="391">
                  <c:v>-12.97302776636991</c:v>
                </c:pt>
                <c:pt idx="392">
                  <c:v>-13.006143094659118</c:v>
                </c:pt>
                <c:pt idx="393">
                  <c:v>-13.036612260645303</c:v>
                </c:pt>
                <c:pt idx="394">
                  <c:v>-13.064497277801959</c:v>
                </c:pt>
                <c:pt idx="395">
                  <c:v>-13.089863653404636</c:v>
                </c:pt>
                <c:pt idx="396">
                  <c:v>-13.112780182992873</c:v>
                </c:pt>
                <c:pt idx="397">
                  <c:v>-13.133318729583925</c:v>
                </c:pt>
                <c:pt idx="398">
                  <c:v>-13.151553989037808</c:v>
                </c:pt>
                <c:pt idx="399">
                  <c:v>-13.167563243100354</c:v>
                </c:pt>
                <c:pt idx="400">
                  <c:v>-13.181426101761444</c:v>
                </c:pt>
                <c:pt idx="401">
                  <c:v>-13.193224236661914</c:v>
                </c:pt>
                <c:pt idx="402">
                  <c:v>-13.203041107358908</c:v>
                </c:pt>
                <c:pt idx="403">
                  <c:v>-13.210961682320262</c:v>
                </c:pt>
                <c:pt idx="404">
                  <c:v>-13.217072156557579</c:v>
                </c:pt>
                <c:pt idx="405">
                  <c:v>-13.221459667826434</c:v>
                </c:pt>
                <c:pt idx="406">
                  <c:v>-13.224212013322932</c:v>
                </c:pt>
                <c:pt idx="407">
                  <c:v>-13.225417368782288</c:v>
                </c:pt>
                <c:pt idx="408">
                  <c:v>-13.225164011844432</c:v>
                </c:pt>
                <c:pt idx="409">
                  <c:v>-13.223540051490829</c:v>
                </c:pt>
                <c:pt idx="410">
                  <c:v>-13.220633165273997</c:v>
                </c:pt>
                <c:pt idx="411">
                  <c:v>-13.216530345967037</c:v>
                </c:pt>
                <c:pt idx="412">
                  <c:v>-13.211317659142372</c:v>
                </c:pt>
                <c:pt idx="413">
                  <c:v>-13.20508001306564</c:v>
                </c:pt>
                <c:pt idx="414">
                  <c:v>-13.197900942144232</c:v>
                </c:pt>
                <c:pt idx="415">
                  <c:v>-13.18986240502403</c:v>
                </c:pt>
                <c:pt idx="416">
                  <c:v>-13.181044598267498</c:v>
                </c:pt>
                <c:pt idx="417">
                  <c:v>-13.171525786377625</c:v>
                </c:pt>
                <c:pt idx="418">
                  <c:v>-13.161382148771636</c:v>
                </c:pt>
                <c:pt idx="419">
                  <c:v>-13.150687644133026</c:v>
                </c:pt>
                <c:pt idx="420">
                  <c:v>-13.139513892405098</c:v>
                </c:pt>
                <c:pt idx="421">
                  <c:v>-13.127930074527871</c:v>
                </c:pt>
                <c:pt idx="422">
                  <c:v>-13.116002849857322</c:v>
                </c:pt>
                <c:pt idx="423">
                  <c:v>-13.103796291060764</c:v>
                </c:pt>
                <c:pt idx="424">
                  <c:v>-13.091371836136867</c:v>
                </c:pt>
                <c:pt idx="425">
                  <c:v>-13.0787882570829</c:v>
                </c:pt>
                <c:pt idx="426">
                  <c:v>-13.066101644610322</c:v>
                </c:pt>
                <c:pt idx="427">
                  <c:v>-13.053365408208029</c:v>
                </c:pt>
                <c:pt idx="428">
                  <c:v>-13.040630290761047</c:v>
                </c:pt>
                <c:pt idx="429">
                  <c:v>-13.027944396853741</c:v>
                </c:pt>
                <c:pt idx="430">
                  <c:v>-13.015353233828492</c:v>
                </c:pt>
                <c:pt idx="431">
                  <c:v>-13.002899764618965</c:v>
                </c:pt>
                <c:pt idx="432">
                  <c:v>-12.990624471345733</c:v>
                </c:pt>
                <c:pt idx="433">
                  <c:v>-12.978565428639952</c:v>
                </c:pt>
                <c:pt idx="434">
                  <c:v>-12.966758385654423</c:v>
                </c:pt>
                <c:pt idx="435">
                  <c:v>-12.955236855724417</c:v>
                </c:pt>
                <c:pt idx="436">
                  <c:v>-12.944032212655006</c:v>
                </c:pt>
                <c:pt idx="437">
                  <c:v>-12.933173792638339</c:v>
                </c:pt>
                <c:pt idx="438">
                  <c:v>-12.922689000834961</c:v>
                </c:pt>
                <c:pt idx="439">
                  <c:v>-12.91260342169541</c:v>
                </c:pt>
                <c:pt idx="440">
                  <c:v>-12.902940932144338</c:v>
                </c:pt>
                <c:pt idx="441">
                  <c:v>-12.893723816800938</c:v>
                </c:pt>
                <c:pt idx="442">
                  <c:v>-12.884972884464334</c:v>
                </c:pt>
                <c:pt idx="443">
                  <c:v>-12.8767075851522</c:v>
                </c:pt>
                <c:pt idx="444">
                  <c:v>-12.868946127037834</c:v>
                </c:pt>
                <c:pt idx="445">
                  <c:v>-12.861705592692774</c:v>
                </c:pt>
                <c:pt idx="446">
                  <c:v>-12.85500205410238</c:v>
                </c:pt>
                <c:pt idx="447">
                  <c:v>-12.848850685978441</c:v>
                </c:pt>
                <c:pt idx="448">
                  <c:v>-12.843265876952332</c:v>
                </c:pt>
                <c:pt idx="449">
                  <c:v>-12.838261338285248</c:v>
                </c:pt>
                <c:pt idx="450">
                  <c:v>-12.833850209785249</c:v>
                </c:pt>
                <c:pt idx="451">
                  <c:v>-12.830045162669483</c:v>
                </c:pt>
                <c:pt idx="452">
                  <c:v>-12.82685849915352</c:v>
                </c:pt>
                <c:pt idx="453">
                  <c:v>-12.824302248594545</c:v>
                </c:pt>
                <c:pt idx="454">
                  <c:v>-12.822388260048525</c:v>
                </c:pt>
                <c:pt idx="455">
                  <c:v>-12.821128291140585</c:v>
                </c:pt>
                <c:pt idx="456">
                  <c:v>-12.820534093170995</c:v>
                </c:pt>
                <c:pt idx="457">
                  <c:v>-12.820617492410944</c:v>
                </c:pt>
                <c:pt idx="458">
                  <c:v>-12.821390467560585</c:v>
                </c:pt>
                <c:pt idx="459">
                  <c:v>-12.822865223361079</c:v>
                </c:pt>
                <c:pt idx="460">
                  <c:v>-12.82505426036696</c:v>
                </c:pt>
                <c:pt idx="461">
                  <c:v>-12.827970440896454</c:v>
                </c:pt>
                <c:pt idx="462">
                  <c:v>-12.831627051184931</c:v>
                </c:pt>
                <c:pt idx="463">
                  <c:v>-12.836037859771899</c:v>
                </c:pt>
                <c:pt idx="464">
                  <c:v>-12.841217172154689</c:v>
                </c:pt>
                <c:pt idx="465">
                  <c:v>-12.847179881740283</c:v>
                </c:pt>
                <c:pt idx="466">
                  <c:v>-12.853941517126737</c:v>
                </c:pt>
                <c:pt idx="467">
                  <c:v>-12.861518285737894</c:v>
                </c:pt>
                <c:pt idx="468">
                  <c:v>-12.869927113831352</c:v>
                </c:pt>
                <c:pt idx="469">
                  <c:v>-12.879185682891572</c:v>
                </c:pt>
                <c:pt idx="470">
                  <c:v>-12.889312462408313</c:v>
                </c:pt>
                <c:pt idx="471">
                  <c:v>-12.900326739034899</c:v>
                </c:pt>
                <c:pt idx="472">
                  <c:v>-12.912248642105538</c:v>
                </c:pt>
                <c:pt idx="473">
                  <c:v>-12.92509916548309</c:v>
                </c:pt>
                <c:pt idx="474">
                  <c:v>-12.938900185693871</c:v>
                </c:pt>
                <c:pt idx="475">
                  <c:v>-12.953674476297239</c:v>
                </c:pt>
                <c:pt idx="476">
                  <c:v>-12.9694457184256</c:v>
                </c:pt>
                <c:pt idx="477">
                  <c:v>-12.986238507416468</c:v>
                </c:pt>
                <c:pt idx="478">
                  <c:v>-13.004078355454068</c:v>
                </c:pt>
                <c:pt idx="479">
                  <c:v>-13.022991690122311</c:v>
                </c:pt>
                <c:pt idx="480">
                  <c:v>-13.043005848767972</c:v>
                </c:pt>
                <c:pt idx="481">
                  <c:v>-13.064149068563795</c:v>
                </c:pt>
                <c:pt idx="482">
                  <c:v>-13.08645047215731</c:v>
                </c:pt>
                <c:pt idx="483">
                  <c:v>-13.109940048789095</c:v>
                </c:pt>
                <c:pt idx="484">
                  <c:v>-13.134648630762779</c:v>
                </c:pt>
                <c:pt idx="485">
                  <c:v>-13.160607865152771</c:v>
                </c:pt>
                <c:pt idx="486">
                  <c:v>-13.187850180638687</c:v>
                </c:pt>
                <c:pt idx="487">
                  <c:v>-13.216408749364756</c:v>
                </c:pt>
                <c:pt idx="488">
                  <c:v>-13.246317443734021</c:v>
                </c:pt>
                <c:pt idx="489">
                  <c:v>-13.277610788058542</c:v>
                </c:pt>
                <c:pt idx="490">
                  <c:v>-13.310323905009502</c:v>
                </c:pt>
                <c:pt idx="491">
                  <c:v>-13.344492456826927</c:v>
                </c:pt>
                <c:pt idx="492">
                  <c:v>-13.380152581279097</c:v>
                </c:pt>
                <c:pt idx="493">
                  <c:v>-13.417340822385482</c:v>
                </c:pt>
                <c:pt idx="494">
                  <c:v>-13.45609405595463</c:v>
                </c:pt>
                <c:pt idx="495">
                  <c:v>-13.496449410018256</c:v>
                </c:pt>
                <c:pt idx="496">
                  <c:v>-13.538444180287604</c:v>
                </c:pt>
                <c:pt idx="497">
                  <c:v>-13.582115740796537</c:v>
                </c:pt>
                <c:pt idx="498">
                  <c:v>-13.627501449941487</c:v>
                </c:pt>
                <c:pt idx="499">
                  <c:v>-13.674638552178308</c:v>
                </c:pt>
                <c:pt idx="500">
                  <c:v>-13.723564075680128</c:v>
                </c:pt>
                <c:pt idx="501">
                  <c:v>-13.774314726316742</c:v>
                </c:pt>
                <c:pt idx="502">
                  <c:v>-13.826926778362004</c:v>
                </c:pt>
                <c:pt idx="503">
                  <c:v>-13.881435962390427</c:v>
                </c:pt>
                <c:pt idx="504">
                  <c:v>-13.937877350872164</c:v>
                </c:pt>
                <c:pt idx="505">
                  <c:v>-13.996285242025152</c:v>
                </c:pt>
                <c:pt idx="506">
                  <c:v>-14.056693042528998</c:v>
                </c:pt>
                <c:pt idx="507">
                  <c:v>-14.119133149747594</c:v>
                </c:pt>
                <c:pt idx="508">
                  <c:v>-14.183636834145455</c:v>
                </c:pt>
                <c:pt idx="509">
                  <c:v>-14.250234122616074</c:v>
                </c:pt>
                <c:pt idx="510">
                  <c:v>-14.318953683466255</c:v>
                </c:pt>
                <c:pt idx="511">
                  <c:v>-14.389822713822102</c:v>
                </c:pt>
                <c:pt idx="512">
                  <c:v>-14.46286683023194</c:v>
                </c:pt>
                <c:pt idx="513">
                  <c:v>-14.538109963245912</c:v>
                </c:pt>
                <c:pt idx="514">
                  <c:v>-14.615574256748893</c:v>
                </c:pt>
                <c:pt idx="515">
                  <c:v>-14.695279972804068</c:v>
                </c:pt>
                <c:pt idx="516">
                  <c:v>-14.77724540274613</c:v>
                </c:pt>
                <c:pt idx="517">
                  <c:v>-14.861486785224528</c:v>
                </c:pt>
                <c:pt idx="518">
                  <c:v>-14.948018231857294</c:v>
                </c:pt>
                <c:pt idx="519">
                  <c:v>-15.03685166110361</c:v>
                </c:pt>
                <c:pt idx="520">
                  <c:v>-15.127996740900095</c:v>
                </c:pt>
                <c:pt idx="521">
                  <c:v>-15.221460840541701</c:v>
                </c:pt>
                <c:pt idx="522">
                  <c:v>-15.317248992207329</c:v>
                </c:pt>
                <c:pt idx="523">
                  <c:v>-15.415363862453294</c:v>
                </c:pt>
                <c:pt idx="524">
                  <c:v>-15.515805733909113</c:v>
                </c:pt>
                <c:pt idx="525">
                  <c:v>-15.618572497319505</c:v>
                </c:pt>
                <c:pt idx="526">
                  <c:v>-15.723659653986694</c:v>
                </c:pt>
                <c:pt idx="527">
                  <c:v>-15.831060328571105</c:v>
                </c:pt>
                <c:pt idx="528">
                  <c:v>-15.940765292119234</c:v>
                </c:pt>
                <c:pt idx="529">
                  <c:v>-16.052762995095193</c:v>
                </c:pt>
                <c:pt idx="530">
                  <c:v>-16.167039610105189</c:v>
                </c:pt>
                <c:pt idx="531">
                  <c:v>-16.283579083924113</c:v>
                </c:pt>
                <c:pt idx="532">
                  <c:v>-16.402363198354855</c:v>
                </c:pt>
                <c:pt idx="533">
                  <c:v>-16.523371639382336</c:v>
                </c:pt>
                <c:pt idx="534">
                  <c:v>-16.646582074023609</c:v>
                </c:pt>
                <c:pt idx="535">
                  <c:v>-16.77197023422017</c:v>
                </c:pt>
                <c:pt idx="536">
                  <c:v>-16.899510007075737</c:v>
                </c:pt>
                <c:pt idx="537">
                  <c:v>-17.029173530710317</c:v>
                </c:pt>
                <c:pt idx="538">
                  <c:v>-17.160931294970943</c:v>
                </c:pt>
                <c:pt idx="539">
                  <c:v>-17.294752246230342</c:v>
                </c:pt>
                <c:pt idx="540">
                  <c:v>-17.430603895493398</c:v>
                </c:pt>
                <c:pt idx="541">
                  <c:v>-17.56845242903907</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-1.4038607804729846</c:v>
                </c:pt>
                <c:pt idx="1">
                  <c:v>-1.436547551064854</c:v>
                </c:pt>
                <c:pt idx="2">
                  <c:v>-1.4699947402234124</c:v>
                </c:pt>
                <c:pt idx="3">
                  <c:v>-1.5042199921938817</c:v>
                </c:pt>
                <c:pt idx="4">
                  <c:v>-1.5392413573399644</c:v>
                </c:pt>
                <c:pt idx="5">
                  <c:v>-1.5750773012562651</c:v>
                </c:pt>
                <c:pt idx="6">
                  <c:v>-1.6117467140681994</c:v>
                </c:pt>
                <c:pt idx="7">
                  <c:v>-1.6492689199220312</c:v>
                </c:pt>
                <c:pt idx="8">
                  <c:v>-1.6876636866676757</c:v>
                </c:pt>
                <c:pt idx="9">
                  <c:v>-1.7269512357365169</c:v>
                </c:pt>
                <c:pt idx="10">
                  <c:v>-1.7671522522169056</c:v>
                </c:pt>
                <c:pt idx="11">
                  <c:v>-1.8082878951294905</c:v>
                </c:pt>
                <c:pt idx="12">
                  <c:v>-1.8503798079045128</c:v>
                </c:pt>
                <c:pt idx="13">
                  <c:v>-1.8934501290632466</c:v>
                </c:pt>
                <c:pt idx="14">
                  <c:v>-1.9375215031055042</c:v>
                </c:pt>
                <c:pt idx="15">
                  <c:v>-1.9826170916048591</c:v>
                </c:pt>
                <c:pt idx="16">
                  <c:v>-2.0287605845133565</c:v>
                </c:pt>
                <c:pt idx="17">
                  <c:v>-2.075976211676958</c:v>
                </c:pt>
                <c:pt idx="18">
                  <c:v>-2.1242887545630444</c:v>
                </c:pt>
                <c:pt idx="19">
                  <c:v>-2.1737235582009262</c:v>
                </c:pt>
                <c:pt idx="20">
                  <c:v>-2.2243065433359552</c:v>
                </c:pt>
                <c:pt idx="21">
                  <c:v>-2.2760642187979503</c:v>
                </c:pt>
                <c:pt idx="22">
                  <c:v>-2.3290236940836482</c:v>
                </c:pt>
                <c:pt idx="23">
                  <c:v>-2.3832126921534593</c:v>
                </c:pt>
                <c:pt idx="24">
                  <c:v>-2.4386595624414973</c:v>
                </c:pt>
                <c:pt idx="25">
                  <c:v>-2.4953932940783305</c:v>
                </c:pt>
                <c:pt idx="26">
                  <c:v>-2.5534435293245963</c:v>
                </c:pt>
                <c:pt idx="27">
                  <c:v>-2.6128405772140297</c:v>
                </c:pt>
                <c:pt idx="28">
                  <c:v>-2.6736154274032771</c:v>
                </c:pt>
                <c:pt idx="29">
                  <c:v>-2.7357997642254737</c:v>
                </c:pt>
                <c:pt idx="30">
                  <c:v>-2.7994259809443425</c:v>
                </c:pt>
                <c:pt idx="31">
                  <c:v>-2.8645271942041268</c:v>
                </c:pt>
                <c:pt idx="32">
                  <c:v>-2.9311372586709092</c:v>
                </c:pt>
                <c:pt idx="33">
                  <c:v>-2.9992907818593748</c:v>
                </c:pt>
                <c:pt idx="34">
                  <c:v>-3.0690231391384941</c:v>
                </c:pt>
                <c:pt idx="35">
                  <c:v>-3.1403704889087698</c:v>
                </c:pt>
                <c:pt idx="36">
                  <c:v>-3.2133697879428018</c:v>
                </c:pt>
                <c:pt idx="37">
                  <c:v>-3.2880588068795737</c:v>
                </c:pt>
                <c:pt idx="38">
                  <c:v>-3.3644761458619432</c:v>
                </c:pt>
                <c:pt idx="39">
                  <c:v>-3.4426612503058154</c:v>
                </c:pt>
                <c:pt idx="40">
                  <c:v>-3.5226544267879234</c:v>
                </c:pt>
                <c:pt idx="41">
                  <c:v>-3.6044968590376372</c:v>
                </c:pt>
                <c:pt idx="42">
                  <c:v>-3.6882306240172626</c:v>
                </c:pt>
                <c:pt idx="43">
                  <c:v>-3.7738987080728981</c:v>
                </c:pt>
                <c:pt idx="44">
                  <c:v>-3.8615450231374466</c:v>
                </c:pt>
                <c:pt idx="45">
                  <c:v>-3.9512144229638544</c:v>
                </c:pt>
                <c:pt idx="46">
                  <c:v>-4.0429527193663066</c:v>
                </c:pt>
                <c:pt idx="47">
                  <c:v>-4.1368066984440919</c:v>
                </c:pt>
                <c:pt idx="48">
                  <c:v>-4.2328241367608586</c:v>
                </c:pt>
                <c:pt idx="49">
                  <c:v>-4.3310538174496838</c:v>
                </c:pt>
                <c:pt idx="50">
                  <c:v>-4.4315455462113968</c:v>
                </c:pt>
                <c:pt idx="51">
                  <c:v>-4.5343501671720707</c:v>
                </c:pt>
                <c:pt idx="52">
                  <c:v>-4.6395195785604066</c:v>
                </c:pt>
                <c:pt idx="53">
                  <c:v>-4.7471067481659324</c:v>
                </c:pt>
                <c:pt idx="54">
                  <c:v>-4.8571657285318652</c:v>
                </c:pt>
                <c:pt idx="55">
                  <c:v>-4.969751671836681</c:v>
                </c:pt>
                <c:pt idx="56">
                  <c:v>-5.0849208444115312</c:v>
                </c:pt>
                <c:pt idx="57">
                  <c:v>-5.2027306408392171</c:v>
                </c:pt>
                <c:pt idx="58">
                  <c:v>-5.3232395975744167</c:v>
                </c:pt>
                <c:pt idx="59">
                  <c:v>-5.4465074060216443</c:v>
                </c:pt>
                <c:pt idx="60">
                  <c:v>-5.5725949250021243</c:v>
                </c:pt>
                <c:pt idx="61">
                  <c:v>-5.7015641925354332</c:v>
                </c:pt>
                <c:pt idx="62">
                  <c:v>-5.8334784368580284</c:v>
                </c:pt>
                <c:pt idx="63">
                  <c:v>-5.968402086593172</c:v>
                </c:pt>
                <c:pt idx="64">
                  <c:v>-6.1064007799820974</c:v>
                </c:pt>
                <c:pt idx="65">
                  <c:v>-6.2475413730808009</c:v>
                </c:pt>
                <c:pt idx="66">
                  <c:v>-6.3918919468178315</c:v>
                </c:pt>
                <c:pt idx="67">
                  <c:v>-6.5395218128050541</c:v>
                </c:pt>
                <c:pt idx="68">
                  <c:v>-6.6905015177826259</c:v>
                </c:pt>
                <c:pt idx="69">
                  <c:v>-6.8449028465753425</c:v>
                </c:pt>
                <c:pt idx="70">
                  <c:v>-7.0027988234264535</c:v>
                </c:pt>
                <c:pt idx="71">
                  <c:v>-7.1642637115693155</c:v>
                </c:pt>
                <c:pt idx="72">
                  <c:v>-7.329373010887771</c:v>
                </c:pt>
                <c:pt idx="73">
                  <c:v>-7.4982034535061954</c:v>
                </c:pt>
                <c:pt idx="74">
                  <c:v>-7.6708329971429841</c:v>
                </c:pt>
                <c:pt idx="75">
                  <c:v>-7.8473408160497682</c:v>
                </c:pt>
                <c:pt idx="76">
                  <c:v>-8.027807289349969</c:v>
                </c:pt>
                <c:pt idx="77">
                  <c:v>-8.2123139865791046</c:v>
                </c:pt>
                <c:pt idx="78">
                  <c:v>-8.400943650219423</c:v>
                </c:pt>
                <c:pt idx="79">
                  <c:v>-8.5937801750105525</c:v>
                </c:pt>
                <c:pt idx="80">
                  <c:v>-8.7909085838059138</c:v>
                </c:pt>
                <c:pt idx="81">
                  <c:v>-8.9924149997353524</c:v>
                </c:pt>
                <c:pt idx="82">
                  <c:v>-9.1983866144208655</c:v>
                </c:pt>
                <c:pt idx="83">
                  <c:v>-9.4089116519817555</c:v>
                </c:pt>
                <c:pt idx="84">
                  <c:v>-9.6240793285555224</c:v>
                </c:pt>
                <c:pt idx="85">
                  <c:v>-9.8439798070456046</c:v>
                </c:pt>
                <c:pt idx="86">
                  <c:v>-10.068704146800984</c:v>
                </c:pt>
                <c:pt idx="87">
                  <c:v>-10.298344247915489</c:v>
                </c:pt>
                <c:pt idx="88">
                  <c:v>-10.532992789830516</c:v>
                </c:pt>
                <c:pt idx="89">
                  <c:v>-10.772743163907435</c:v>
                </c:pt>
                <c:pt idx="90">
                  <c:v>-11.017689399633921</c:v>
                </c:pt>
                <c:pt idx="91">
                  <c:v>-11.267926084111631</c:v>
                </c:pt>
                <c:pt idx="92">
                  <c:v>-11.523548274472319</c:v>
                </c:pt>
                <c:pt idx="93">
                  <c:v>-11.784651402856172</c:v>
                </c:pt>
                <c:pt idx="94">
                  <c:v>-12.051331173584781</c:v>
                </c:pt>
                <c:pt idx="95">
                  <c:v>-12.323683452155198</c:v>
                </c:pt>
                <c:pt idx="96">
                  <c:v>-12.601804145680671</c:v>
                </c:pt>
                <c:pt idx="97">
                  <c:v>-12.885789074402235</c:v>
                </c:pt>
                <c:pt idx="98">
                  <c:v>-13.175733833899359</c:v>
                </c:pt>
                <c:pt idx="99">
                  <c:v>-13.471733647631476</c:v>
                </c:pt>
                <c:pt idx="100">
                  <c:v>-13.773883209450357</c:v>
                </c:pt>
                <c:pt idx="101">
                  <c:v>-14.082276515737716</c:v>
                </c:pt>
                <c:pt idx="102">
                  <c:v>-14.397006686832786</c:v>
                </c:pt>
                <c:pt idx="103">
                  <c:v>-14.718165777438944</c:v>
                </c:pt>
                <c:pt idx="104">
                  <c:v>-15.045844575719411</c:v>
                </c:pt>
                <c:pt idx="105">
                  <c:v>-15.38013239082345</c:v>
                </c:pt>
                <c:pt idx="106">
                  <c:v>-15.721116828616674</c:v>
                </c:pt>
                <c:pt idx="107">
                  <c:v>-16.068883555433288</c:v>
                </c:pt>
                <c:pt idx="108">
                  <c:v>-16.423516049709249</c:v>
                </c:pt>
                <c:pt idx="109">
                  <c:v>-16.785095341416234</c:v>
                </c:pt>
                <c:pt idx="110">
                  <c:v>-17.153699739269797</c:v>
                </c:pt>
                <c:pt idx="111">
                  <c:v>-17.529404545759295</c:v>
                </c:pt>
                <c:pt idx="112">
                  <c:v>-17.91228176011856</c:v>
                </c:pt>
                <c:pt idx="113">
                  <c:v>-18.302399769444918</c:v>
                </c:pt>
                <c:pt idx="114">
                  <c:v>-18.699823028262998</c:v>
                </c:pt>
                <c:pt idx="115">
                  <c:v>-19.104611726934198</c:v>
                </c:pt>
                <c:pt idx="116">
                  <c:v>-19.516821449420164</c:v>
                </c:pt>
                <c:pt idx="117">
                  <c:v>-19.936502821029762</c:v>
                </c:pt>
                <c:pt idx="118">
                  <c:v>-20.363701146901832</c:v>
                </c:pt>
                <c:pt idx="119">
                  <c:v>-20.798456042117728</c:v>
                </c:pt>
                <c:pt idx="120">
                  <c:v>-21.240801054471707</c:v>
                </c:pt>
                <c:pt idx="121">
                  <c:v>-21.690763281086074</c:v>
                </c:pt>
                <c:pt idx="122">
                  <c:v>-22.148362980205942</c:v>
                </c:pt>
                <c:pt idx="123">
                  <c:v>-22.613613179676133</c:v>
                </c:pt>
                <c:pt idx="124">
                  <c:v>-23.086519283762289</c:v>
                </c:pt>
                <c:pt idx="125">
                  <c:v>-23.567078680150743</c:v>
                </c:pt>
                <c:pt idx="126">
                  <c:v>-24.055280349126321</c:v>
                </c:pt>
                <c:pt idx="127">
                  <c:v>-24.551104477093087</c:v>
                </c:pt>
                <c:pt idx="128">
                  <c:v>-25.054522076771779</c:v>
                </c:pt>
                <c:pt idx="129">
                  <c:v>-25.56549461656099</c:v>
                </c:pt>
                <c:pt idx="130">
                  <c:v>-26.08397366169353</c:v>
                </c:pt>
                <c:pt idx="131">
                  <c:v>-26.609900529968069</c:v>
                </c:pt>
                <c:pt idx="132">
                  <c:v>-27.143205964944887</c:v>
                </c:pt>
                <c:pt idx="133">
                  <c:v>-27.683809829611903</c:v>
                </c:pt>
                <c:pt idx="134">
                  <c:v>-28.231620823596703</c:v>
                </c:pt>
                <c:pt idx="135">
                  <c:v>-28.786536227073739</c:v>
                </c:pt>
                <c:pt idx="136">
                  <c:v>-29.34844167453463</c:v>
                </c:pt>
                <c:pt idx="137">
                  <c:v>-29.917210961597046</c:v>
                </c:pt>
                <c:pt idx="138">
                  <c:v>-30.492705887987778</c:v>
                </c:pt>
                <c:pt idx="139">
                  <c:v>-31.074776139774183</c:v>
                </c:pt>
                <c:pt idx="140">
                  <c:v>-31.663259213794806</c:v>
                </c:pt>
                <c:pt idx="141">
                  <c:v>-32.257980387100638</c:v>
                </c:pt>
                <c:pt idx="142">
                  <c:v>-32.85875273402057</c:v>
                </c:pt>
                <c:pt idx="143">
                  <c:v>-33.465377193224228</c:v>
                </c:pt>
                <c:pt idx="144">
                  <c:v>-34.077642686881084</c:v>
                </c:pt>
                <c:pt idx="145">
                  <c:v>-34.695326293688794</c:v>
                </c:pt>
                <c:pt idx="146">
                  <c:v>-35.318193477178497</c:v>
                </c:pt>
                <c:pt idx="147">
                  <c:v>-35.945998370305368</c:v>
                </c:pt>
                <c:pt idx="148">
                  <c:v>-36.578484116892298</c:v>
                </c:pt>
                <c:pt idx="149">
                  <c:v>-37.21538327002763</c:v>
                </c:pt>
                <c:pt idx="150">
                  <c:v>-37.856418247020166</c:v>
                </c:pt>
                <c:pt idx="151">
                  <c:v>-38.501301840004899</c:v>
                </c:pt>
                <c:pt idx="152">
                  <c:v>-39.149737780760923</c:v>
                </c:pt>
                <c:pt idx="153">
                  <c:v>-39.801421357772803</c:v>
                </c:pt>
                <c:pt idx="154">
                  <c:v>-40.456040083029521</c:v>
                </c:pt>
                <c:pt idx="155">
                  <c:v>-41.113274405545852</c:v>
                </c:pt>
                <c:pt idx="156">
                  <c:v>-41.772798468072914</c:v>
                </c:pt>
                <c:pt idx="157">
                  <c:v>-42.434280903005138</c:v>
                </c:pt>
                <c:pt idx="158">
                  <c:v>-43.097385663037585</c:v>
                </c:pt>
                <c:pt idx="159">
                  <c:v>-43.761772881743113</c:v>
                </c:pt>
                <c:pt idx="160">
                  <c:v>-44.427099758882619</c:v>
                </c:pt>
                <c:pt idx="161">
                  <c:v>-45.093021464975386</c:v>
                </c:pt>
                <c:pt idx="162">
                  <c:v>-45.759192059433751</c:v>
                </c:pt>
                <c:pt idx="163">
                  <c:v>-46.425265416396627</c:v>
                </c:pt>
                <c:pt idx="164">
                  <c:v>-47.090896152310009</c:v>
                </c:pt>
                <c:pt idx="165">
                  <c:v>-47.755740549283587</c:v>
                </c:pt>
                <c:pt idx="166">
                  <c:v>-48.419457468296578</c:v>
                </c:pt>
                <c:pt idx="167">
                  <c:v>-49.081709246456413</c:v>
                </c:pt>
                <c:pt idx="168">
                  <c:v>-49.742162572700231</c:v>
                </c:pt>
                <c:pt idx="169">
                  <c:v>-50.400489336580485</c:v>
                </c:pt>
                <c:pt idx="170">
                  <c:v>-51.056367445096029</c:v>
                </c:pt>
                <c:pt idx="171">
                  <c:v>-51.709481602898812</c:v>
                </c:pt>
                <c:pt idx="172">
                  <c:v>-52.35952405161801</c:v>
                </c:pt>
                <c:pt idx="173">
                  <c:v>-53.006195264503702</c:v>
                </c:pt>
                <c:pt idx="174">
                  <c:v>-53.649204593076561</c:v>
                </c:pt>
                <c:pt idx="175">
                  <c:v>-54.288270862984369</c:v>
                </c:pt>
                <c:pt idx="176">
                  <c:v>-54.923122916793318</c:v>
                </c:pt>
                <c:pt idx="177">
                  <c:v>-55.553500101969419</c:v>
                </c:pt>
                <c:pt idx="178">
                  <c:v>-56.179152702844661</c:v>
                </c:pt>
                <c:pt idx="179">
                  <c:v>-56.799842315880596</c:v>
                </c:pt>
                <c:pt idx="180">
                  <c:v>-57.415342168051652</c:v>
                </c:pt>
                <c:pt idx="181">
                  <c:v>-58.025437378651908</c:v>
                </c:pt>
                <c:pt idx="182">
                  <c:v>-58.629925165288348</c:v>
                </c:pt>
                <c:pt idx="183">
                  <c:v>-59.228614995244421</c:v>
                </c:pt>
                <c:pt idx="184">
                  <c:v>-59.821328683785495</c:v>
                </c:pt>
                <c:pt idx="185">
                  <c:v>-60.407900441326007</c:v>
                </c:pt>
                <c:pt idx="186">
                  <c:v>-60.988176871673808</c:v>
                </c:pt>
                <c:pt idx="187">
                  <c:v>-61.562016923847303</c:v>
                </c:pt>
                <c:pt idx="188">
                  <c:v>-62.129291800158576</c:v>
                </c:pt>
                <c:pt idx="189">
                  <c:v>-62.689884823443258</c:v>
                </c:pt>
                <c:pt idx="190">
                  <c:v>-63.243691266451094</c:v>
                </c:pt>
                <c:pt idx="191">
                  <c:v>-63.790618146497891</c:v>
                </c:pt>
                <c:pt idx="192">
                  <c:v>-64.330583988540155</c:v>
                </c:pt>
                <c:pt idx="193">
                  <c:v>-64.863518559848515</c:v>
                </c:pt>
                <c:pt idx="194">
                  <c:v>-65.389362579445859</c:v>
                </c:pt>
                <c:pt idx="195">
                  <c:v>-65.908067405430032</c:v>
                </c:pt>
                <c:pt idx="196">
                  <c:v>-66.419594703235418</c:v>
                </c:pt>
                <c:pt idx="197">
                  <c:v>-66.923916097786261</c:v>
                </c:pt>
                <c:pt idx="198">
                  <c:v>-67.421012812394792</c:v>
                </c:pt>
                <c:pt idx="199">
                  <c:v>-67.91087529711713</c:v>
                </c:pt>
                <c:pt idx="200">
                  <c:v>-68.393502849142664</c:v>
                </c:pt>
                <c:pt idx="201">
                  <c:v>-68.868903227640104</c:v>
                </c:pt>
                <c:pt idx="202">
                  <c:v>-69.337092265322198</c:v>
                </c:pt>
                <c:pt idx="203">
                  <c:v>-69.79809347882599</c:v>
                </c:pt>
                <c:pt idx="204">
                  <c:v>-70.251937679838989</c:v>
                </c:pt>
                <c:pt idx="205">
                  <c:v>-70.698662588731651</c:v>
                </c:pt>
                <c:pt idx="206">
                  <c:v>-71.138312452293704</c:v>
                </c:pt>
                <c:pt idx="207">
                  <c:v>-71.570937667002596</c:v>
                </c:pt>
                <c:pt idx="208">
                  <c:v>-71.996594409099217</c:v>
                </c:pt>
                <c:pt idx="209">
                  <c:v>-72.415344272589834</c:v>
                </c:pt>
                <c:pt idx="210">
                  <c:v>-72.827253916144215</c:v>
                </c:pt>
                <c:pt idx="211">
                  <c:v>-73.232394719726813</c:v>
                </c:pt>
                <c:pt idx="212">
                  <c:v>-73.630842451658168</c:v>
                </c:pt>
                <c:pt idx="213">
                  <c:v>-74.022676946687398</c:v>
                </c:pt>
                <c:pt idx="214">
                  <c:v>-74.407981795537509</c:v>
                </c:pt>
                <c:pt idx="215">
                  <c:v>-74.786844046280521</c:v>
                </c:pt>
                <c:pt idx="216">
                  <c:v>-75.159353917802306</c:v>
                </c:pt>
                <c:pt idx="217">
                  <c:v>-75.525604525526958</c:v>
                </c:pt>
                <c:pt idx="218">
                  <c:v>-75.885691619489975</c:v>
                </c:pt>
                <c:pt idx="219">
                  <c:v>-76.239713334777505</c:v>
                </c:pt>
                <c:pt idx="220">
                  <c:v>-76.587769954282606</c:v>
                </c:pt>
                <c:pt idx="221">
                  <c:v>-76.929963683674188</c:v>
                </c:pt>
                <c:pt idx="222">
                  <c:v>-77.266398438419074</c:v>
                </c:pt>
                <c:pt idx="223">
                  <c:v>-77.597179642661061</c:v>
                </c:pt>
                <c:pt idx="224">
                  <c:v>-77.922414039712891</c:v>
                </c:pt>
                <c:pt idx="225">
                  <c:v>-78.242209513895446</c:v>
                </c:pt>
                <c:pt idx="226">
                  <c:v>-78.556674923423273</c:v>
                </c:pt>
                <c:pt idx="227">
                  <c:v>-78.865919944016412</c:v>
                </c:pt>
                <c:pt idx="228">
                  <c:v>-79.170054922902395</c:v>
                </c:pt>
                <c:pt idx="229">
                  <c:v>-79.469190742856313</c:v>
                </c:pt>
                <c:pt idx="230">
                  <c:v>-79.763438695915909</c:v>
                </c:pt>
                <c:pt idx="231">
                  <c:v>-80.052910366405882</c:v>
                </c:pt>
                <c:pt idx="232">
                  <c:v>-80.337717522896014</c:v>
                </c:pt>
                <c:pt idx="233">
                  <c:v>-80.617972018722597</c:v>
                </c:pt>
                <c:pt idx="234">
                  <c:v>-80.893785700696526</c:v>
                </c:pt>
                <c:pt idx="235">
                  <c:v>-81.165270325631255</c:v>
                </c:pt>
                <c:pt idx="236">
                  <c:v>-81.432537484322793</c:v>
                </c:pt>
                <c:pt idx="237">
                  <c:v>-81.695698532622814</c:v>
                </c:pt>
                <c:pt idx="238">
                  <c:v>-81.954864529252959</c:v>
                </c:pt>
                <c:pt idx="239">
                  <c:v>-82.210146180015272</c:v>
                </c:pt>
                <c:pt idx="240">
                  <c:v>-82.461653788063856</c:v>
                </c:pt>
                <c:pt idx="241">
                  <c:v>-82.709497209913479</c:v>
                </c:pt>
                <c:pt idx="242">
                  <c:v>-82.953785816868518</c:v>
                </c:pt>
                <c:pt idx="243">
                  <c:v>-83.194628461568684</c:v>
                </c:pt>
                <c:pt idx="244">
                  <c:v>-83.43213344935829</c:v>
                </c:pt>
                <c:pt idx="245">
                  <c:v>-83.666408514196405</c:v>
                </c:pt>
                <c:pt idx="246">
                  <c:v>-83.897560798836381</c:v>
                </c:pt>
                <c:pt idx="247">
                  <c:v>-84.125696839015646</c:v>
                </c:pt>
                <c:pt idx="248">
                  <c:v>-84.350922551405773</c:v>
                </c:pt>
                <c:pt idx="249">
                  <c:v>-84.573343225085594</c:v>
                </c:pt>
                <c:pt idx="250">
                  <c:v>-84.793063516309488</c:v>
                </c:pt>
                <c:pt idx="251">
                  <c:v>-85.010187446354195</c:v>
                </c:pt>
                <c:pt idx="252">
                  <c:v>-85.224818402237375</c:v>
                </c:pt>
                <c:pt idx="253">
                  <c:v>-85.437059140111216</c:v>
                </c:pt>
                <c:pt idx="254">
                  <c:v>-85.647011791143214</c:v>
                </c:pt>
                <c:pt idx="255">
                  <c:v>-85.854777869706908</c:v>
                </c:pt>
                <c:pt idx="256">
                  <c:v>-86.060458283711554</c:v>
                </c:pt>
                <c:pt idx="257">
                  <c:v>-86.264153346911613</c:v>
                </c:pt>
                <c:pt idx="258">
                  <c:v>-86.465962793040902</c:v>
                </c:pt>
                <c:pt idx="259">
                  <c:v>-86.665985791627421</c:v>
                </c:pt>
                <c:pt idx="260">
                  <c:v>-86.864320965349492</c:v>
                </c:pt>
                <c:pt idx="261">
                  <c:v>-87.061066408801111</c:v>
                </c:pt>
                <c:pt idx="262">
                  <c:v>-87.256319708542421</c:v>
                </c:pt>
                <c:pt idx="263">
                  <c:v>-87.450177964313824</c:v>
                </c:pt>
                <c:pt idx="264">
                  <c:v>-87.64273781130106</c:v>
                </c:pt>
                <c:pt idx="265">
                  <c:v>-87.834095443340829</c:v>
                </c:pt>
                <c:pt idx="266">
                  <c:v>-88.024346636963273</c:v>
                </c:pt>
                <c:pt idx="267">
                  <c:v>-88.213586776170629</c:v>
                </c:pt>
                <c:pt idx="268">
                  <c:v>-88.401910877855059</c:v>
                </c:pt>
                <c:pt idx="269">
                  <c:v>-88.589413617763185</c:v>
                </c:pt>
                <c:pt idx="270">
                  <c:v>-88.776189356916518</c:v>
                </c:pt>
                <c:pt idx="271">
                  <c:v>-88.96233216840092</c:v>
                </c:pt>
                <c:pt idx="272">
                  <c:v>-89.147935864438651</c:v>
                </c:pt>
                <c:pt idx="273">
                  <c:v>-89.333094023661019</c:v>
                </c:pt>
                <c:pt idx="274">
                  <c:v>-89.517900018498437</c:v>
                </c:pt>
                <c:pt idx="275">
                  <c:v>-89.702447042607346</c:v>
                </c:pt>
                <c:pt idx="276">
                  <c:v>-89.886828138254543</c:v>
                </c:pt>
                <c:pt idx="277">
                  <c:v>-90.071136223578165</c:v>
                </c:pt>
                <c:pt idx="278">
                  <c:v>-90.255464119646348</c:v>
                </c:pt>
                <c:pt idx="279">
                  <c:v>-90.43990457723325</c:v>
                </c:pt>
                <c:pt idx="280">
                  <c:v>-90.62455030323207</c:v>
                </c:pt>
                <c:pt idx="281">
                  <c:v>-90.809493986622698</c:v>
                </c:pt>
                <c:pt idx="282">
                  <c:v>-90.99482832391196</c:v>
                </c:pt>
                <c:pt idx="283">
                  <c:v>-91.180646043960394</c:v>
                </c:pt>
                <c:pt idx="284">
                  <c:v>-91.367039932110345</c:v>
                </c:pt>
                <c:pt idx="285">
                  <c:v>-91.554102853524611</c:v>
                </c:pt>
                <c:pt idx="286">
                  <c:v>-91.741927775645152</c:v>
                </c:pt>
                <c:pt idx="287">
                  <c:v>-91.930607789676344</c:v>
                </c:pt>
                <c:pt idx="288">
                  <c:v>-92.120236130994499</c:v>
                </c:pt>
                <c:pt idx="289">
                  <c:v>-92.310906198382852</c:v>
                </c:pt>
                <c:pt idx="290">
                  <c:v>-92.502711571984946</c:v>
                </c:pt>
                <c:pt idx="291">
                  <c:v>-92.69574602986782</c:v>
                </c:pt>
                <c:pt idx="292">
                  <c:v>-92.890103563080089</c:v>
                </c:pt>
                <c:pt idx="293">
                  <c:v>-93.08587838908592</c:v>
                </c:pt>
                <c:pt idx="294">
                  <c:v>-93.283164963451156</c:v>
                </c:pt>
                <c:pt idx="295">
                  <c:v>-93.482057989651949</c:v>
                </c:pt>
                <c:pt idx="296">
                  <c:v>-93.68265242687221</c:v>
                </c:pt>
                <c:pt idx="297">
                  <c:v>-93.8850434956491</c:v>
                </c:pt>
                <c:pt idx="298">
                  <c:v>-94.08932668122084</c:v>
                </c:pt>
                <c:pt idx="299">
                  <c:v>-94.295597734426522</c:v>
                </c:pt>
                <c:pt idx="300">
                  <c:v>-94.50395266999935</c:v>
                </c:pt>
                <c:pt idx="301">
                  <c:v>-94.714487762090471</c:v>
                </c:pt>
                <c:pt idx="302">
                  <c:v>-94.927299536855841</c:v>
                </c:pt>
                <c:pt idx="303">
                  <c:v>-95.142484761930163</c:v>
                </c:pt>
                <c:pt idx="304">
                  <c:v>-95.360140432609086</c:v>
                </c:pt>
                <c:pt idx="305">
                  <c:v>-95.580363754553829</c:v>
                </c:pt>
                <c:pt idx="306">
                  <c:v>-95.803252122829093</c:v>
                </c:pt>
                <c:pt idx="307">
                  <c:v>-96.028903097079905</c:v>
                </c:pt>
                <c:pt idx="308">
                  <c:v>-96.257414372648626</c:v>
                </c:pt>
                <c:pt idx="309">
                  <c:v>-96.488883747431942</c:v>
                </c:pt>
                <c:pt idx="310">
                  <c:v>-96.723409084273328</c:v>
                </c:pt>
                <c:pt idx="311">
                  <c:v>-96.961088268686893</c:v>
                </c:pt>
                <c:pt idx="312">
                  <c:v>-97.202019161707625</c:v>
                </c:pt>
                <c:pt idx="313">
                  <c:v>-97.446299547661951</c:v>
                </c:pt>
                <c:pt idx="314">
                  <c:v>-97.694027076660831</c:v>
                </c:pt>
                <c:pt idx="315">
                  <c:v>-97.945299201612656</c:v>
                </c:pt>
                <c:pt idx="316">
                  <c:v>-98.200213109570143</c:v>
                </c:pt>
                <c:pt idx="317">
                  <c:v>-98.458865647223718</c:v>
                </c:pt>
                <c:pt idx="318">
                  <c:v>-98.721353240369538</c:v>
                </c:pt>
                <c:pt idx="319">
                  <c:v>-98.987771807194179</c:v>
                </c:pt>
                <c:pt idx="320">
                  <c:v>-99.258216665228602</c:v>
                </c:pt>
                <c:pt idx="321">
                  <c:v>-99.532782431850151</c:v>
                </c:pt>
                <c:pt idx="322">
                  <c:v>-99.811562918225633</c:v>
                </c:pt>
                <c:pt idx="323">
                  <c:v>-100.09465101662218</c:v>
                </c:pt>
                <c:pt idx="324">
                  <c:v>-100.38213858103688</c:v>
                </c:pt>
                <c:pt idx="325">
                  <c:v>-100.67411630113202</c:v>
                </c:pt>
                <c:pt idx="326">
                  <c:v>-100.970673569502</c:v>
                </c:pt>
                <c:pt idx="327">
                  <c:v>-101.27189834233836</c:v>
                </c:pt>
                <c:pt idx="328">
                  <c:v>-101.57787699361114</c:v>
                </c:pt>
                <c:pt idx="329">
                  <c:v>-101.88869416293288</c:v>
                </c:pt>
                <c:pt idx="330">
                  <c:v>-102.20443259733234</c:v>
                </c:pt>
                <c:pt idx="331">
                  <c:v>-102.5251729872282</c:v>
                </c:pt>
                <c:pt idx="332">
                  <c:v>-102.85099379695902</c:v>
                </c:pt>
                <c:pt idx="333">
                  <c:v>-103.18197109030157</c:v>
                </c:pt>
                <c:pt idx="334">
                  <c:v>-103.51817835148515</c:v>
                </c:pt>
                <c:pt idx="335">
                  <c:v>-103.85968630229726</c:v>
                </c:pt>
                <c:pt idx="336">
                  <c:v>-104.20656271595506</c:v>
                </c:pt>
                <c:pt idx="337">
                  <c:v>-104.55887222851823</c:v>
                </c:pt>
                <c:pt idx="338">
                  <c:v>-104.91667614870602</c:v>
                </c:pt>
                <c:pt idx="339">
                  <c:v>-105.28003226707899</c:v>
                </c:pt>
                <c:pt idx="340">
                  <c:v>-105.64899466564782</c:v>
                </c:pt>
                <c:pt idx="341">
                  <c:v>-106.02361352906483</c:v>
                </c:pt>
                <c:pt idx="342">
                  <c:v>-106.40393495865636</c:v>
                </c:pt>
                <c:pt idx="343">
                  <c:v>-106.7900007906438</c:v>
                </c:pt>
                <c:pt idx="344">
                  <c:v>-107.18184841999584</c:v>
                </c:pt>
                <c:pt idx="345">
                  <c:v>-107.57951063143597</c:v>
                </c:pt>
                <c:pt idx="346">
                  <c:v>-107.98301543920934</c:v>
                </c:pt>
                <c:pt idx="347">
                  <c:v>-108.39238593726998</c:v>
                </c:pt>
                <c:pt idx="348">
                  <c:v>-108.80764016161532</c:v>
                </c:pt>
                <c:pt idx="349">
                  <c:v>-109.22879096652032</c:v>
                </c:pt>
                <c:pt idx="350">
                  <c:v>-109.65584591644765</c:v>
                </c:pt>
                <c:pt idx="351">
                  <c:v>-110.08880719541094</c:v>
                </c:pt>
                <c:pt idx="352">
                  <c:v>-110.5276715355408</c:v>
                </c:pt>
                <c:pt idx="353">
                  <c:v>-110.9724301665532</c:v>
                </c:pt>
                <c:pt idx="354">
                  <c:v>-111.42306878774582</c:v>
                </c:pt>
                <c:pt idx="355">
                  <c:v>-111.87956756402876</c:v>
                </c:pt>
                <c:pt idx="356">
                  <c:v>-112.34190114737305</c:v>
                </c:pt>
                <c:pt idx="357">
                  <c:v>-112.81003872486794</c:v>
                </c:pt>
                <c:pt idx="358">
                  <c:v>-113.28394409438189</c:v>
                </c:pt>
                <c:pt idx="359">
                  <c:v>-113.76357576857653</c:v>
                </c:pt>
                <c:pt idx="360">
                  <c:v>-114.24888710774265</c:v>
                </c:pt>
                <c:pt idx="361">
                  <c:v>-114.73982648162051</c:v>
                </c:pt>
                <c:pt idx="362">
                  <c:v>-115.23633746002808</c:v>
                </c:pt>
                <c:pt idx="363">
                  <c:v>-115.73835903174538</c:v>
                </c:pt>
                <c:pt idx="364">
                  <c:v>-116.24582585071447</c:v>
                </c:pt>
                <c:pt idx="365">
                  <c:v>-116.75866850820411</c:v>
                </c:pt>
                <c:pt idx="366">
                  <c:v>-117.27681382915964</c:v>
                </c:pt>
                <c:pt idx="367">
                  <c:v>-117.80018519052489</c:v>
                </c:pt>
                <c:pt idx="368">
                  <c:v>-118.32870285890169</c:v>
                </c:pt>
                <c:pt idx="369">
                  <c:v>-118.86228434447835</c:v>
                </c:pt>
                <c:pt idx="370">
                  <c:v>-119.40084476777051</c:v>
                </c:pt>
                <c:pt idx="371">
                  <c:v>-119.94429723533329</c:v>
                </c:pt>
                <c:pt idx="372">
                  <c:v>-120.49255322027842</c:v>
                </c:pt>
                <c:pt idx="373">
                  <c:v>-121.04552294313361</c:v>
                </c:pt>
                <c:pt idx="374">
                  <c:v>-121.60311574836481</c:v>
                </c:pt>
                <c:pt idx="375">
                  <c:v>-122.16524047170762</c:v>
                </c:pt>
                <c:pt idx="376">
                  <c:v>-122.73180579337922</c:v>
                </c:pt>
                <c:pt idx="377">
                  <c:v>-123.30272057223185</c:v>
                </c:pt>
                <c:pt idx="378">
                  <c:v>-123.87789415599781</c:v>
                </c:pt>
                <c:pt idx="379">
                  <c:v>-124.4572366629462</c:v>
                </c:pt>
                <c:pt idx="380">
                  <c:v>-125.04065923055718</c:v>
                </c:pt>
                <c:pt idx="381">
                  <c:v>-125.62807422716619</c:v>
                </c:pt>
                <c:pt idx="382">
                  <c:v>-126.21939542301259</c:v>
                </c:pt>
                <c:pt idx="383">
                  <c:v>-126.81453811765633</c:v>
                </c:pt>
                <c:pt idx="384">
                  <c:v>-127.41341922136186</c:v>
                </c:pt>
                <c:pt idx="385">
                  <c:v>-128.01595728875341</c:v>
                </c:pt>
                <c:pt idx="386">
                  <c:v>-128.62207250380112</c:v>
                </c:pt>
                <c:pt idx="387">
                  <c:v>-129.23168661600803</c:v>
                </c:pt>
                <c:pt idx="388">
                  <c:v>-129.8447228285111</c:v>
                </c:pt>
                <c:pt idx="389">
                  <c:v>-130.46110563966968</c:v>
                </c:pt>
                <c:pt idx="390">
                  <c:v>-131.08076064056451</c:v>
                </c:pt>
                <c:pt idx="391">
                  <c:v>-131.70361427166748</c:v>
                </c:pt>
                <c:pt idx="392">
                  <c:v>-132.329593542753</c:v>
                </c:pt>
                <c:pt idx="393">
                  <c:v>-132.95862572084908</c:v>
                </c:pt>
                <c:pt idx="394">
                  <c:v>-133.59063799170903</c:v>
                </c:pt>
                <c:pt idx="395">
                  <c:v>-134.22555710086229</c:v>
                </c:pt>
                <c:pt idx="396">
                  <c:v>-134.86330898079331</c:v>
                </c:pt>
                <c:pt idx="397">
                  <c:v>-135.50381837114887</c:v>
                </c:pt>
                <c:pt idx="398">
                  <c:v>-136.14700843914312</c:v>
                </c:pt>
                <c:pt idx="399">
                  <c:v>-136.79280040742509</c:v>
                </c:pt>
                <c:pt idx="400">
                  <c:v>-137.44111319666959</c:v>
                </c:pt>
                <c:pt idx="401">
                  <c:v>-138.09186308999924</c:v>
                </c:pt>
                <c:pt idx="402">
                  <c:v>-138.74496342606679</c:v>
                </c:pt>
                <c:pt idx="403">
                  <c:v>-139.40032432721705</c:v>
                </c:pt>
                <c:pt idx="404">
                  <c:v>-140.05785246863263</c:v>
                </c:pt>
                <c:pt idx="405">
                  <c:v>-140.71745089373326</c:v>
                </c:pt>
                <c:pt idx="406">
                  <c:v>-141.37901888038306</c:v>
                </c:pt>
                <c:pt idx="407">
                  <c:v>-142.04245186165545</c:v>
                </c:pt>
                <c:pt idx="408">
                  <c:v>-142.70764140405072</c:v>
                </c:pt>
                <c:pt idx="409">
                  <c:v>-143.37447524516139</c:v>
                </c:pt>
                <c:pt idx="410">
                  <c:v>-144.04283739184021</c:v>
                </c:pt>
                <c:pt idx="411">
                  <c:v>-144.71260827901645</c:v>
                </c:pt>
                <c:pt idx="412">
                  <c:v>-145.38366498835529</c:v>
                </c:pt>
                <c:pt idx="413">
                  <c:v>-146.05588152509006</c:v>
                </c:pt>
                <c:pt idx="414">
                  <c:v>-146.72912915049363</c:v>
                </c:pt>
                <c:pt idx="415">
                  <c:v>-147.40327676668144</c:v>
                </c:pt>
                <c:pt idx="416">
                  <c:v>-148.07819134971885</c:v>
                </c:pt>
                <c:pt idx="417">
                  <c:v>-148.75373842638578</c:v>
                </c:pt>
                <c:pt idx="418">
                  <c:v>-149.42978258940983</c:v>
                </c:pt>
                <c:pt idx="419">
                  <c:v>-150.10618804555915</c:v>
                </c:pt>
                <c:pt idx="420">
                  <c:v>-150.78281919063528</c:v>
                </c:pt>
                <c:pt idx="421">
                  <c:v>-151.45954120520378</c:v>
                </c:pt>
                <c:pt idx="422">
                  <c:v>-152.13622066475602</c:v>
                </c:pt>
                <c:pt idx="423">
                  <c:v>-152.81272615799472</c:v>
                </c:pt>
                <c:pt idx="424">
                  <c:v>-153.48892890699858</c:v>
                </c:pt>
                <c:pt idx="425">
                  <c:v>-154.16470338319601</c:v>
                </c:pt>
                <c:pt idx="426">
                  <c:v>-154.83992791331815</c:v>
                </c:pt>
                <c:pt idx="427">
                  <c:v>-155.51448526982361</c:v>
                </c:pt>
                <c:pt idx="428">
                  <c:v>-156.1882632406776</c:v>
                </c:pt>
                <c:pt idx="429">
                  <c:v>-156.86115517378809</c:v>
                </c:pt>
                <c:pt idx="430">
                  <c:v>-157.53306049188495</c:v>
                </c:pt>
                <c:pt idx="431">
                  <c:v>-158.20388517413431</c:v>
                </c:pt>
                <c:pt idx="432">
                  <c:v>-158.87354220129501</c:v>
                </c:pt>
                <c:pt idx="433">
                  <c:v>-159.54195196176425</c:v>
                </c:pt>
                <c:pt idx="434">
                  <c:v>-160.20904261638589</c:v>
                </c:pt>
                <c:pt idx="435">
                  <c:v>-160.87475042041694</c:v>
                </c:pt>
                <c:pt idx="436">
                  <c:v>-161.53902000155188</c:v>
                </c:pt>
                <c:pt idx="437">
                  <c:v>-162.20180459338246</c:v>
                </c:pt>
                <c:pt idx="438">
                  <c:v>-162.86306622412124</c:v>
                </c:pt>
                <c:pt idx="439">
                  <c:v>-163.52277586082698</c:v>
                </c:pt>
                <c:pt idx="440">
                  <c:v>-164.18091350975251</c:v>
                </c:pt>
                <c:pt idx="441">
                  <c:v>-164.83746827376171</c:v>
                </c:pt>
                <c:pt idx="442">
                  <c:v>-165.49243836806036</c:v>
                </c:pt>
                <c:pt idx="443">
                  <c:v>-166.14583109573397</c:v>
                </c:pt>
                <c:pt idx="444">
                  <c:v>-166.7976627847876</c:v>
                </c:pt>
                <c:pt idx="445">
                  <c:v>-167.4479586885534</c:v>
                </c:pt>
                <c:pt idx="446">
                  <c:v>-168.09675285145124</c:v>
                </c:pt>
                <c:pt idx="447">
                  <c:v>-168.7440879421753</c:v>
                </c:pt>
                <c:pt idx="448">
                  <c:v>-169.39001505643134</c:v>
                </c:pt>
                <c:pt idx="449">
                  <c:v>-170.03459349136745</c:v>
                </c:pt>
                <c:pt idx="450">
                  <c:v>-170.67789049382759</c:v>
                </c:pt>
                <c:pt idx="451">
                  <c:v>-171.3199809845251</c:v>
                </c:pt>
                <c:pt idx="452">
                  <c:v>-171.96094726016716</c:v>
                </c:pt>
                <c:pt idx="453">
                  <c:v>-172.60087867548933</c:v>
                </c:pt>
                <c:pt idx="454">
                  <c:v>-173.23987130705581</c:v>
                </c:pt>
                <c:pt idx="455">
                  <c:v>-173.87802760058284</c:v>
                </c:pt>
                <c:pt idx="456">
                  <c:v>-174.5154560034126</c:v>
                </c:pt>
                <c:pt idx="457">
                  <c:v>-175.15227058365522</c:v>
                </c:pt>
                <c:pt idx="458">
                  <c:v>-175.78859063737389</c:v>
                </c:pt>
                <c:pt idx="459">
                  <c:v>-176.42454028506623</c:v>
                </c:pt>
                <c:pt idx="460">
                  <c:v>-177.06024805856367</c:v>
                </c:pt>
                <c:pt idx="461">
                  <c:v>-177.69584647934118</c:v>
                </c:pt>
                <c:pt idx="462">
                  <c:v>-178.33147162911132</c:v>
                </c:pt>
                <c:pt idx="463">
                  <c:v>-178.96726271345793</c:v>
                </c:pt>
                <c:pt idx="464">
                  <c:v>-179.60336161915788</c:v>
                </c:pt>
                <c:pt idx="465">
                  <c:v>179.76008753426149</c:v>
                </c:pt>
                <c:pt idx="466">
                  <c:v>179.12293884826497</c:v>
                </c:pt>
                <c:pt idx="467">
                  <c:v>178.48504510397404</c:v>
                </c:pt>
                <c:pt idx="468">
                  <c:v>177.84625822543302</c:v>
                </c:pt>
                <c:pt idx="469">
                  <c:v>177.20642974721255</c:v>
                </c:pt>
                <c:pt idx="470">
                  <c:v>176.56541128612716</c:v>
                </c:pt>
                <c:pt idx="471">
                  <c:v>175.92305501686494</c:v>
                </c:pt>
                <c:pt idx="472">
                  <c:v>175.27921415134662</c:v>
                </c:pt>
                <c:pt idx="473">
                  <c:v>174.6337434216185</c:v>
                </c:pt>
                <c:pt idx="474">
                  <c:v>173.98649956607662</c:v>
                </c:pt>
                <c:pt idx="475">
                  <c:v>173.33734181878307</c:v>
                </c:pt>
                <c:pt idx="476">
                  <c:v>172.68613240158828</c:v>
                </c:pt>
                <c:pt idx="477">
                  <c:v>172.03273701871751</c:v>
                </c:pt>
                <c:pt idx="478">
                  <c:v>171.37702535340131</c:v>
                </c:pt>
                <c:pt idx="479">
                  <c:v>170.71887156604433</c:v>
                </c:pt>
                <c:pt idx="480">
                  <c:v>170.05815479332551</c:v>
                </c:pt>
                <c:pt idx="481">
                  <c:v>169.39475964750994</c:v>
                </c:pt>
                <c:pt idx="482">
                  <c:v>168.72857671512645</c:v>
                </c:pt>
                <c:pt idx="483">
                  <c:v>168.0595030540334</c:v>
                </c:pt>
                <c:pt idx="484">
                  <c:v>167.3874426877459</c:v>
                </c:pt>
                <c:pt idx="485">
                  <c:v>166.71230709575048</c:v>
                </c:pt>
                <c:pt idx="486">
                  <c:v>166.03401569837084</c:v>
                </c:pt>
                <c:pt idx="487">
                  <c:v>165.35249633458591</c:v>
                </c:pt>
                <c:pt idx="488">
                  <c:v>164.66768573104019</c:v>
                </c:pt>
                <c:pt idx="489">
                  <c:v>163.97952996031182</c:v>
                </c:pt>
                <c:pt idx="490">
                  <c:v>163.28798488635198</c:v>
                </c:pt>
                <c:pt idx="491">
                  <c:v>162.59301659484021</c:v>
                </c:pt>
                <c:pt idx="492">
                  <c:v>161.89460180606045</c:v>
                </c:pt>
                <c:pt idx="493">
                  <c:v>161.19272826775236</c:v>
                </c:pt>
                <c:pt idx="494">
                  <c:v>160.4873951252813</c:v>
                </c:pt>
                <c:pt idx="495">
                  <c:v>159.77861326635053</c:v>
                </c:pt>
                <c:pt idx="496">
                  <c:v>159.06640563740447</c:v>
                </c:pt>
                <c:pt idx="497">
                  <c:v>158.35080752880341</c:v>
                </c:pt>
                <c:pt idx="498">
                  <c:v>157.63186682582298</c:v>
                </c:pt>
                <c:pt idx="499">
                  <c:v>156.90964422252819</c:v>
                </c:pt>
                <c:pt idx="500">
                  <c:v>156.18421339560248</c:v>
                </c:pt>
                <c:pt idx="501">
                  <c:v>155.45566113528926</c:v>
                </c:pt>
                <c:pt idx="502">
                  <c:v>154.72408743070656</c:v>
                </c:pt>
                <c:pt idx="503">
                  <c:v>153.98960550694952</c:v>
                </c:pt>
                <c:pt idx="504">
                  <c:v>153.25234181159331</c:v>
                </c:pt>
                <c:pt idx="505">
                  <c:v>152.51243594843851</c:v>
                </c:pt>
                <c:pt idx="506">
                  <c:v>151.77004055663085</c:v>
                </c:pt>
                <c:pt idx="507">
                  <c:v>151.0253211336057</c:v>
                </c:pt>
                <c:pt idx="508">
                  <c:v>150.27845580067236</c:v>
                </c:pt>
                <c:pt idx="509">
                  <c:v>149.52963501045809</c:v>
                </c:pt>
                <c:pt idx="510">
                  <c:v>148.77906119586959</c:v>
                </c:pt>
                <c:pt idx="511">
                  <c:v>148.02694836069242</c:v>
                </c:pt>
                <c:pt idx="512">
                  <c:v>147.2735216124475</c:v>
                </c:pt>
                <c:pt idx="513">
                  <c:v>146.51901663862984</c:v>
                </c:pt>
                <c:pt idx="514">
                  <c:v>145.76367912798565</c:v>
                </c:pt>
                <c:pt idx="515">
                  <c:v>145.00776413899595</c:v>
                </c:pt>
                <c:pt idx="516">
                  <c:v>144.25153541828246</c:v>
                </c:pt>
                <c:pt idx="517">
                  <c:v>143.49526467213835</c:v>
                </c:pt>
                <c:pt idx="518">
                  <c:v>142.7392307948991</c:v>
                </c:pt>
                <c:pt idx="519">
                  <c:v>141.98371905832104</c:v>
                </c:pt>
                <c:pt idx="520">
                  <c:v>141.22902026656109</c:v>
                </c:pt>
                <c:pt idx="521">
                  <c:v>140.47542988174354</c:v>
                </c:pt>
                <c:pt idx="522">
                  <c:v>139.72324712542076</c:v>
                </c:pt>
                <c:pt idx="523">
                  <c:v>138.97277406150968</c:v>
                </c:pt>
                <c:pt idx="524">
                  <c:v>138.2243146664963</c:v>
                </c:pt>
                <c:pt idx="525">
                  <c:v>137.47817389285333</c:v>
                </c:pt>
                <c:pt idx="526">
                  <c:v>136.73465673167289</c:v>
                </c:pt>
                <c:pt idx="527">
                  <c:v>135.99406728052793</c:v>
                </c:pt>
                <c:pt idx="528">
                  <c:v>135.256707822512</c:v>
                </c:pt>
                <c:pt idx="529">
                  <c:v>134.52287792225374</c:v>
                </c:pt>
                <c:pt idx="530">
                  <c:v>133.79287354451196</c:v>
                </c:pt>
                <c:pt idx="531">
                  <c:v>133.06698620067269</c:v>
                </c:pt>
                <c:pt idx="532">
                  <c:v>132.34550212815176</c:v>
                </c:pt>
                <c:pt idx="533">
                  <c:v>131.62870150731504</c:v>
                </c:pt>
                <c:pt idx="534">
                  <c:v>130.91685772011235</c:v>
                </c:pt>
                <c:pt idx="535">
                  <c:v>130.21023665414498</c:v>
                </c:pt>
                <c:pt idx="536">
                  <c:v>129.50909605540093</c:v>
                </c:pt>
                <c:pt idx="537">
                  <c:v>128.81368493236542</c:v>
                </c:pt>
                <c:pt idx="538">
                  <c:v>128.12424301369433</c:v>
                </c:pt>
                <c:pt idx="539">
                  <c:v>127.44100026109395</c:v>
                </c:pt>
                <c:pt idx="540">
                  <c:v>126.76417643852855</c:v>
                </c:pt>
                <c:pt idx="541">
                  <c:v>126.09398073833854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754380</xdr:colOff>
          <xdr:row>58</xdr:row>
          <xdr:rowOff>0</xdr:rowOff>
        </xdr:from>
        <xdr:to>
          <xdr:col>8</xdr:col>
          <xdr:colOff>7620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31" zoomScale="85" zoomScaleNormal="85" workbookViewId="0">
      <selection activeCell="H49" sqref="H49"/>
    </sheetView>
  </sheetViews>
  <sheetFormatPr defaultColWidth="8.88671875" defaultRowHeight="14.4" x14ac:dyDescent="0.3"/>
  <cols>
    <col min="1" max="6" width="8.88671875" style="120" customWidth="1"/>
    <col min="7" max="7" width="8.88671875" style="188" customWidth="1"/>
    <col min="8" max="8" width="12" style="120" bestFit="1" customWidth="1"/>
    <col min="9" max="9" width="4.109375" style="120" bestFit="1" customWidth="1"/>
    <col min="10" max="10" width="4.88671875" style="120" customWidth="1"/>
    <col min="11" max="20" width="8.88671875" style="120" customWidth="1"/>
    <col min="21" max="21" width="8.88671875" style="124" customWidth="1"/>
    <col min="22" max="22" width="7.109375" style="120" customWidth="1"/>
    <col min="23" max="26" width="8.88671875" style="120" customWidth="1"/>
    <col min="27" max="27" width="1.88671875" style="189" customWidth="1"/>
    <col min="28" max="16384" width="8.88671875" style="120"/>
  </cols>
  <sheetData>
    <row r="1" spans="1:27" ht="46.65"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354</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5</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5.31</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7</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6</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153.80000000000004</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11.454545454545453</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3.2213241085222792</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38.13545127558497</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2561.0586585106234</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5</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18</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5.9</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7.4</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2</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1.77</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754380</xdr:colOff>
                    <xdr:row>58</xdr:row>
                    <xdr:rowOff>0</xdr:rowOff>
                  </from>
                  <to>
                    <xdr:col>8</xdr:col>
                    <xdr:colOff>7620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88671875" customWidth="1"/>
    <col min="2" max="2" width="19.5546875" customWidth="1"/>
    <col min="3" max="3" width="10.88671875" customWidth="1"/>
    <col min="4" max="4" width="10" bestFit="1" customWidth="1"/>
    <col min="5" max="5" width="18.5546875" customWidth="1"/>
    <col min="6" max="6" width="14.88671875" customWidth="1"/>
    <col min="7" max="7" width="15.109375" customWidth="1"/>
    <col min="8" max="8" width="12.5546875" customWidth="1"/>
    <col min="9" max="9" width="12.5546875" style="4" customWidth="1"/>
    <col min="12" max="12" width="12.441406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14.8</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1000000</v>
      </c>
      <c r="C10" s="4" t="s">
        <v>67</v>
      </c>
      <c r="E10" s="4" t="s">
        <v>68</v>
      </c>
    </row>
    <row r="11" spans="1:17" s="4" customFormat="1" x14ac:dyDescent="0.3">
      <c r="A11" s="4" t="s">
        <v>70</v>
      </c>
      <c r="B11" s="30">
        <f>((2.21*10^10)/Fsw)-955</f>
        <v>21145</v>
      </c>
      <c r="C11" s="2" t="s">
        <v>36</v>
      </c>
      <c r="E11" s="4" t="s">
        <v>71</v>
      </c>
    </row>
    <row r="13" spans="1:17" x14ac:dyDescent="0.3">
      <c r="A13" t="s">
        <v>31</v>
      </c>
      <c r="B13" s="3">
        <f>'Design Converter'!H10</f>
        <v>12</v>
      </c>
      <c r="C13" t="s">
        <v>10</v>
      </c>
      <c r="E13" t="s">
        <v>32</v>
      </c>
    </row>
    <row r="14" spans="1:17" x14ac:dyDescent="0.3">
      <c r="A14" t="s">
        <v>33</v>
      </c>
      <c r="B14" s="3">
        <f>'Design Converter'!H11</f>
        <v>8</v>
      </c>
      <c r="C14" t="s">
        <v>11</v>
      </c>
      <c r="E14" t="s">
        <v>34</v>
      </c>
    </row>
    <row r="15" spans="1:17" x14ac:dyDescent="0.3">
      <c r="A15" t="s">
        <v>35</v>
      </c>
      <c r="B15" s="1">
        <f>VOUT/IOUT</f>
        <v>1.5</v>
      </c>
      <c r="C15" s="2" t="s">
        <v>36</v>
      </c>
      <c r="E15" t="s">
        <v>41</v>
      </c>
    </row>
    <row r="16" spans="1:17" x14ac:dyDescent="0.3">
      <c r="A16" t="s">
        <v>37</v>
      </c>
      <c r="B16" s="1">
        <f>VOUT*IOUT</f>
        <v>96</v>
      </c>
      <c r="C16" s="2" t="s">
        <v>38</v>
      </c>
      <c r="E16" t="s">
        <v>40</v>
      </c>
    </row>
    <row r="17" spans="1:11" x14ac:dyDescent="0.3">
      <c r="A17" t="s">
        <v>39</v>
      </c>
      <c r="B17" s="21">
        <v>1</v>
      </c>
      <c r="E17" t="s">
        <v>434</v>
      </c>
    </row>
    <row r="19" spans="1:11" x14ac:dyDescent="0.3">
      <c r="A19" t="s">
        <v>42</v>
      </c>
      <c r="B19" s="1">
        <f>(VOUT)/(VIN_min+VOUT)</f>
        <v>0.6</v>
      </c>
      <c r="E19" t="s">
        <v>435</v>
      </c>
    </row>
    <row r="20" spans="1:11" s="4" customFormat="1" x14ac:dyDescent="0.3">
      <c r="A20" t="s">
        <v>43</v>
      </c>
      <c r="B20" s="22">
        <f>Constants!B20</f>
        <v>0.9</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0.4</v>
      </c>
      <c r="E28" t="s">
        <v>99</v>
      </c>
    </row>
    <row r="29" spans="1:11" s="32" customFormat="1" x14ac:dyDescent="0.3">
      <c r="A29" s="32" t="s">
        <v>94</v>
      </c>
      <c r="B29" s="38">
        <f>(VIN_nom^2)/(2*ILrip*IOUT*Fsw*(VIN_nom+VOUT))</f>
        <v>1.2770522388059703E-6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4.8999999999999997E-7</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8.8888888888888908E-8</v>
      </c>
      <c r="C35" s="32" t="s">
        <v>86</v>
      </c>
      <c r="E35" s="32" t="s">
        <v>449</v>
      </c>
    </row>
    <row r="36" spans="1:5" s="32" customFormat="1" x14ac:dyDescent="0.3">
      <c r="A36" s="32" t="s">
        <v>450</v>
      </c>
      <c r="B36" s="38">
        <f>MIN(B33,B35)</f>
        <v>8.8888888888888908E-8</v>
      </c>
      <c r="C36" s="32" t="s">
        <v>86</v>
      </c>
      <c r="E36" s="32" t="s">
        <v>451</v>
      </c>
    </row>
    <row r="37" spans="1:5" s="32" customFormat="1" x14ac:dyDescent="0.3">
      <c r="B37" s="220"/>
    </row>
    <row r="38" spans="1:5" s="32" customFormat="1" x14ac:dyDescent="0.3">
      <c r="A38" s="32" t="s">
        <v>454</v>
      </c>
      <c r="B38" s="38">
        <f>IF(B21=1,B36,Lopt_2)</f>
        <v>1.2770522388059703E-6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6" customHeight="1" x14ac:dyDescent="0.3">
      <c r="A42" s="32" t="s">
        <v>521</v>
      </c>
      <c r="B42" s="230">
        <f>Lm</f>
        <v>3.2999999999999997E-6</v>
      </c>
      <c r="E42" s="32" t="s">
        <v>522</v>
      </c>
    </row>
    <row r="43" spans="1:5" s="32" customFormat="1" ht="15.6"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0.6</v>
      </c>
      <c r="E53" s="32" t="s">
        <v>541</v>
      </c>
    </row>
    <row r="54" spans="1:5" s="32" customFormat="1" x14ac:dyDescent="0.3">
      <c r="B54" s="23">
        <f>B53/Fsw</f>
        <v>5.9999999999999997E-7</v>
      </c>
      <c r="C54" s="32" t="s">
        <v>52</v>
      </c>
      <c r="E54" s="32" t="s">
        <v>276</v>
      </c>
    </row>
    <row r="55" spans="1:5" s="32" customFormat="1" x14ac:dyDescent="0.3">
      <c r="A55" s="231" t="s">
        <v>520</v>
      </c>
      <c r="B55" s="229"/>
    </row>
    <row r="56" spans="1:5" s="32" customFormat="1" x14ac:dyDescent="0.3">
      <c r="A56" s="32" t="s">
        <v>528</v>
      </c>
      <c r="B56" s="29">
        <f>(VOUT*IOUT)/(VIN_min)</f>
        <v>12</v>
      </c>
      <c r="C56" s="32" t="s">
        <v>11</v>
      </c>
      <c r="E56" s="32" t="s">
        <v>83</v>
      </c>
    </row>
    <row r="57" spans="1:5" s="32" customFormat="1" x14ac:dyDescent="0.3">
      <c r="A57" s="32" t="s">
        <v>529</v>
      </c>
      <c r="B57" s="28">
        <f>(VIN_min*Dc_VIN_min)/(Lm_A*Fsw)</f>
        <v>1.4545454545454546</v>
      </c>
      <c r="C57" s="32" t="s">
        <v>11</v>
      </c>
      <c r="E57" s="32" t="s">
        <v>97</v>
      </c>
    </row>
    <row r="58" spans="1:5" x14ac:dyDescent="0.3">
      <c r="A58" t="s">
        <v>530</v>
      </c>
      <c r="B58" s="28">
        <f>IF(B52=0,(VIN_min*Dc_VIN_min)/(Lm*Fsw),(ILA_avg_VIN_min/EFF_est)+(ILArip_VINmin/2))</f>
        <v>12.727272727272727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8</v>
      </c>
      <c r="C61" s="32" t="s">
        <v>11</v>
      </c>
    </row>
    <row r="62" spans="1:5" s="32" customFormat="1" x14ac:dyDescent="0.3">
      <c r="A62" s="32" t="s">
        <v>539</v>
      </c>
      <c r="B62" s="23">
        <f>(VIN_min*Dc_VIN_min)/(Lm*Fsw)</f>
        <v>1.4545454545454546</v>
      </c>
      <c r="C62" s="32" t="s">
        <v>11</v>
      </c>
    </row>
    <row r="63" spans="1:5" s="32" customFormat="1" x14ac:dyDescent="0.3">
      <c r="A63" s="32" t="s">
        <v>540</v>
      </c>
      <c r="B63" s="23">
        <f>B61+B62/2</f>
        <v>8.7272727272727266</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21.454545454545453</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0.44776119402985076</v>
      </c>
      <c r="E70" s="32" t="s">
        <v>436</v>
      </c>
    </row>
    <row r="71" spans="1:5" s="32" customFormat="1" x14ac:dyDescent="0.3">
      <c r="B71" s="23">
        <f>B70/Fsw</f>
        <v>4.4776119402985079E-7</v>
      </c>
      <c r="C71" s="32" t="s">
        <v>52</v>
      </c>
      <c r="E71" s="32" t="s">
        <v>276</v>
      </c>
    </row>
    <row r="72" spans="1:5" s="32" customFormat="1" x14ac:dyDescent="0.3">
      <c r="A72" s="231" t="s">
        <v>520</v>
      </c>
      <c r="B72" s="229"/>
    </row>
    <row r="73" spans="1:5" s="32" customFormat="1" x14ac:dyDescent="0.3">
      <c r="A73" s="32" t="s">
        <v>531</v>
      </c>
      <c r="B73" s="29">
        <f>(VOUT*IOUT)/(VIN_nom)</f>
        <v>6.486486486486486</v>
      </c>
      <c r="C73" s="32" t="s">
        <v>11</v>
      </c>
      <c r="E73" s="32" t="s">
        <v>84</v>
      </c>
    </row>
    <row r="74" spans="1:5" x14ac:dyDescent="0.3">
      <c r="A74" s="32" t="s">
        <v>532</v>
      </c>
      <c r="B74" s="28">
        <f>(VIN_nom*Dc_VIN_nom)/(Lm*Fsw)</f>
        <v>2.0081411126187247</v>
      </c>
      <c r="C74" s="32" t="s">
        <v>11</v>
      </c>
      <c r="E74" s="32" t="s">
        <v>100</v>
      </c>
    </row>
    <row r="75" spans="1:5" x14ac:dyDescent="0.3">
      <c r="A75" s="32" t="s">
        <v>533</v>
      </c>
      <c r="B75" s="28">
        <f>IF(B69=0,(VIN_nom*Dc_VIN_nom)/(Lm*Fsw),(ILA_avg_VIN_nom/EFF_est)+(ILArip_VINnom/2))</f>
        <v>7.4905570427958486</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8</v>
      </c>
      <c r="C78" s="32" t="s">
        <v>11</v>
      </c>
      <c r="E78" s="32" t="s">
        <v>552</v>
      </c>
    </row>
    <row r="79" spans="1:5" s="32" customFormat="1" x14ac:dyDescent="0.3">
      <c r="A79" s="32" t="s">
        <v>545</v>
      </c>
      <c r="B79" s="23">
        <f>(VIN_nom*Dc_VIN_nom)/(Lm*Fsw)</f>
        <v>2.0081411126187247</v>
      </c>
      <c r="C79" s="32" t="s">
        <v>11</v>
      </c>
    </row>
    <row r="80" spans="1:5" s="32" customFormat="1" x14ac:dyDescent="0.3">
      <c r="A80" s="32" t="s">
        <v>546</v>
      </c>
      <c r="B80" s="23">
        <f>B78+B79/2</f>
        <v>9.0040705563093617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16.494627599105211</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0.4</v>
      </c>
      <c r="E87" s="32" t="s">
        <v>437</v>
      </c>
    </row>
    <row r="88" spans="1:5" s="32" customFormat="1" x14ac:dyDescent="0.3">
      <c r="B88" s="23">
        <f>B87/Fsw</f>
        <v>4.0000000000000003E-7</v>
      </c>
      <c r="C88" s="32" t="s">
        <v>52</v>
      </c>
      <c r="E88" s="32" t="s">
        <v>276</v>
      </c>
    </row>
    <row r="89" spans="1:5" s="32" customFormat="1" x14ac:dyDescent="0.3">
      <c r="A89" s="231" t="s">
        <v>520</v>
      </c>
      <c r="B89" s="229"/>
    </row>
    <row r="90" spans="1:5" s="32" customFormat="1" x14ac:dyDescent="0.3">
      <c r="A90" s="32" t="s">
        <v>534</v>
      </c>
      <c r="B90" s="29">
        <f>(VOUT*IOUT)/(VIN_max)</f>
        <v>5.333333333333333</v>
      </c>
      <c r="C90" s="32" t="s">
        <v>11</v>
      </c>
      <c r="E90" s="32" t="s">
        <v>85</v>
      </c>
    </row>
    <row r="91" spans="1:5" x14ac:dyDescent="0.3">
      <c r="A91" s="32" t="s">
        <v>535</v>
      </c>
      <c r="B91" s="28">
        <f>(VIN_max*Dc_VIN_max)/(Lm*Fsw)</f>
        <v>2.1818181818181821</v>
      </c>
      <c r="C91" s="32" t="s">
        <v>11</v>
      </c>
      <c r="E91" s="32" t="s">
        <v>102</v>
      </c>
    </row>
    <row r="92" spans="1:5" x14ac:dyDescent="0.3">
      <c r="A92" s="32" t="s">
        <v>536</v>
      </c>
      <c r="B92" s="28">
        <f>ILA_avg_VIN_max+ILArip_VINmax/2</f>
        <v>6.4242424242424239</v>
      </c>
      <c r="C92" s="32" t="s">
        <v>11</v>
      </c>
      <c r="E92" s="32" t="s">
        <v>103</v>
      </c>
    </row>
    <row r="94" spans="1:5" s="32" customFormat="1" x14ac:dyDescent="0.3">
      <c r="A94" s="231" t="s">
        <v>537</v>
      </c>
      <c r="B94" s="229"/>
      <c r="E94" s="32" t="s">
        <v>552</v>
      </c>
    </row>
    <row r="95" spans="1:5" s="32" customFormat="1" x14ac:dyDescent="0.3">
      <c r="A95" s="32" t="s">
        <v>548</v>
      </c>
      <c r="B95" s="23">
        <f>IOUT</f>
        <v>8</v>
      </c>
      <c r="C95" s="32" t="s">
        <v>11</v>
      </c>
    </row>
    <row r="96" spans="1:5" s="32" customFormat="1" x14ac:dyDescent="0.3">
      <c r="A96" s="32" t="s">
        <v>549</v>
      </c>
      <c r="B96" s="23">
        <f>(VIN_max*Dc_VIN_max)/(Lm*Fsw)</f>
        <v>2.1818181818181821</v>
      </c>
      <c r="C96" s="32" t="s">
        <v>11</v>
      </c>
    </row>
    <row r="97" spans="1:5" s="32" customFormat="1" x14ac:dyDescent="0.3">
      <c r="A97" s="32" t="s">
        <v>550</v>
      </c>
      <c r="B97" s="23">
        <f>B95+B96/2</f>
        <v>9.0909090909090917</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15.515151515151514</v>
      </c>
      <c r="C100" s="32" t="s">
        <v>11</v>
      </c>
    </row>
    <row r="101" spans="1:5" s="32" customFormat="1" x14ac:dyDescent="0.3">
      <c r="B101" s="232"/>
    </row>
    <row r="102" spans="1:5" x14ac:dyDescent="0.3">
      <c r="A102" s="31" t="s">
        <v>98</v>
      </c>
    </row>
    <row r="103" spans="1:5" x14ac:dyDescent="0.3">
      <c r="A103" t="s">
        <v>105</v>
      </c>
      <c r="B103" s="3">
        <f>'Design Converter'!H26/100</f>
        <v>0.15</v>
      </c>
      <c r="E103" t="s">
        <v>106</v>
      </c>
    </row>
    <row r="104" spans="1:5" x14ac:dyDescent="0.3">
      <c r="A104" t="s">
        <v>107</v>
      </c>
      <c r="B104" s="29">
        <f>(1+Ipk_margin)*ISW_peak_VIN_min</f>
        <v>24.672727272727268</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1.571035714285714E-2</v>
      </c>
      <c r="C107" s="2" t="s">
        <v>36</v>
      </c>
      <c r="E107" t="s">
        <v>113</v>
      </c>
    </row>
    <row r="108" spans="1:5" x14ac:dyDescent="0.3">
      <c r="A108" t="s">
        <v>120</v>
      </c>
      <c r="B108" s="38">
        <f>Vcl/Ipk_selected</f>
        <v>4.0530582166543854E-3</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4.680753074895674E-3</v>
      </c>
      <c r="C111" s="2" t="s">
        <v>36</v>
      </c>
      <c r="E111" t="s">
        <v>133</v>
      </c>
    </row>
    <row r="112" spans="1:5" x14ac:dyDescent="0.3">
      <c r="A112" t="s">
        <v>127</v>
      </c>
      <c r="B112" s="28">
        <f>(Vcl-(Ipk_selected*Rcs_w_sl))/(Isl*Dc_VIN_min)</f>
        <v>-860.38578043780615</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4.0530582166543854E-3</v>
      </c>
      <c r="C115" s="2" t="s">
        <v>36</v>
      </c>
      <c r="E115" t="s">
        <v>461</v>
      </c>
    </row>
    <row r="116" spans="1:11" x14ac:dyDescent="0.3">
      <c r="A116" t="s">
        <v>129</v>
      </c>
      <c r="B116" s="1">
        <f>IF(B52=0,0,IF(B114=0,0,B112))</f>
        <v>0</v>
      </c>
      <c r="C116" s="2" t="s">
        <v>36</v>
      </c>
      <c r="E116" t="s">
        <v>462</v>
      </c>
    </row>
    <row r="118" spans="1:11" x14ac:dyDescent="0.3">
      <c r="A118" t="s">
        <v>130</v>
      </c>
      <c r="B118" s="42">
        <f>'Design Converter'!H30/1000</f>
        <v>4.0000000000000001E-3</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8.247937499999999</v>
      </c>
      <c r="C121" t="s">
        <v>147</v>
      </c>
      <c r="E121" t="s">
        <v>138</v>
      </c>
      <c r="K121">
        <f>IF(B69=0,0,IF(B121&lt;0.5,1,0))</f>
        <v>0</v>
      </c>
    </row>
    <row r="122" spans="1:11" s="32" customFormat="1" x14ac:dyDescent="0.3">
      <c r="A122" s="32" t="s">
        <v>141</v>
      </c>
      <c r="B122" s="29">
        <f>(Vcl-(Isl*R_sl*Dc_VIN_min))/R_cs</f>
        <v>25</v>
      </c>
      <c r="C122" s="32" t="s">
        <v>11</v>
      </c>
      <c r="E122" s="32" t="s">
        <v>143</v>
      </c>
      <c r="K122">
        <f>IF(IL_pk&lt;Ipk_selected,1,0)</f>
        <v>0</v>
      </c>
    </row>
    <row r="123" spans="1:11" x14ac:dyDescent="0.3">
      <c r="A123" t="s">
        <v>142</v>
      </c>
      <c r="B123" s="29">
        <f>(Vcl-(Isl*R_sl*Dc_VIN_max))/R_cs</f>
        <v>25</v>
      </c>
      <c r="C123" t="s">
        <v>11</v>
      </c>
      <c r="E123" t="s">
        <v>144</v>
      </c>
    </row>
    <row r="124" spans="1:11" x14ac:dyDescent="0.3">
      <c r="A124" t="s">
        <v>145</v>
      </c>
      <c r="B124" s="1">
        <f>0.15</f>
        <v>0.15</v>
      </c>
      <c r="E124" t="s">
        <v>146</v>
      </c>
    </row>
    <row r="125" spans="1:11" x14ac:dyDescent="0.3">
      <c r="A125" t="s">
        <v>148</v>
      </c>
      <c r="B125" s="28">
        <f>(1+B124)*B123</f>
        <v>28.749999999999996</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5.3333333333333328E-6</v>
      </c>
      <c r="C131" s="32" t="s">
        <v>158</v>
      </c>
      <c r="E131" s="32" t="s">
        <v>565</v>
      </c>
    </row>
    <row r="132" spans="1:5" s="32" customFormat="1" x14ac:dyDescent="0.3">
      <c r="A132" s="32" t="s">
        <v>564</v>
      </c>
      <c r="B132" s="45">
        <f>'Design Converter'!H36*(10^-6)</f>
        <v>1.9999999999999998E-5</v>
      </c>
      <c r="C132" s="32" t="s">
        <v>158</v>
      </c>
      <c r="E132" s="32" t="s">
        <v>567</v>
      </c>
    </row>
    <row r="133" spans="1:5" s="32" customFormat="1" x14ac:dyDescent="0.3">
      <c r="A133" s="32" t="s">
        <v>569</v>
      </c>
      <c r="B133" s="29">
        <f>(IOUT*Dc_VIN_min)/(Cac*Fsw)</f>
        <v>0.24</v>
      </c>
      <c r="C133" s="32" t="s">
        <v>10</v>
      </c>
      <c r="E133" s="32" t="s">
        <v>570</v>
      </c>
    </row>
    <row r="134" spans="1:5" s="32" customFormat="1" x14ac:dyDescent="0.3">
      <c r="A134" s="32" t="s">
        <v>568</v>
      </c>
      <c r="B134" s="29">
        <f>IOUT*SQRT(VOUT/VIN_min)</f>
        <v>9.7979589711327115</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20202.020202020209</v>
      </c>
      <c r="C139" s="32" t="s">
        <v>511</v>
      </c>
      <c r="E139" s="32" t="s">
        <v>572</v>
      </c>
    </row>
    <row r="140" spans="1:5" x14ac:dyDescent="0.3">
      <c r="A140" t="s">
        <v>156</v>
      </c>
      <c r="B140" s="45">
        <f>'Design Converter'!H40/1000</f>
        <v>0.75</v>
      </c>
      <c r="C140" t="s">
        <v>10</v>
      </c>
      <c r="E140" t="s">
        <v>155</v>
      </c>
    </row>
    <row r="141" spans="1:5" s="32" customFormat="1" x14ac:dyDescent="0.3">
      <c r="A141" s="32" t="s">
        <v>467</v>
      </c>
      <c r="B141" s="1">
        <f>IOUT-0.5*IOUT</f>
        <v>4</v>
      </c>
      <c r="C141" s="32" t="s">
        <v>11</v>
      </c>
    </row>
    <row r="142" spans="1:5" x14ac:dyDescent="0.3">
      <c r="A142" t="s">
        <v>157</v>
      </c>
      <c r="B142" s="1">
        <f>B141/(Vout_rip_sel*B139)</f>
        <v>2.6399999999999991E-4</v>
      </c>
      <c r="C142" t="s">
        <v>158</v>
      </c>
      <c r="E142" t="s">
        <v>159</v>
      </c>
    </row>
    <row r="143" spans="1:5" x14ac:dyDescent="0.3">
      <c r="A143" t="s">
        <v>161</v>
      </c>
      <c r="B143" s="28">
        <f>IOUT*SQRT(VOUT/VIN_min)</f>
        <v>9.7979589711327115</v>
      </c>
      <c r="C143" t="s">
        <v>11</v>
      </c>
      <c r="E143" t="s">
        <v>573</v>
      </c>
    </row>
    <row r="144" spans="1:5" x14ac:dyDescent="0.3">
      <c r="A144" t="s">
        <v>165</v>
      </c>
      <c r="B144" s="3">
        <f>'Design Converter'!H43*(10^-6)</f>
        <v>3.5399999999999999E-4</v>
      </c>
      <c r="C144" t="s">
        <v>158</v>
      </c>
      <c r="E144" t="s">
        <v>164</v>
      </c>
    </row>
    <row r="145" spans="1:5" x14ac:dyDescent="0.3">
      <c r="A145" t="s">
        <v>163</v>
      </c>
      <c r="B145" s="3">
        <f>'Design Converter'!H44/1000</f>
        <v>5.0000000000000001E-3</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5.3099999999999992E-9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5.9999999999999987E-7</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7</v>
      </c>
      <c r="C154" s="32" t="s">
        <v>10</v>
      </c>
      <c r="E154" s="32" t="s">
        <v>295</v>
      </c>
    </row>
    <row r="155" spans="1:5" s="32" customFormat="1" x14ac:dyDescent="0.3">
      <c r="A155" s="32" t="s">
        <v>294</v>
      </c>
      <c r="B155" s="3">
        <f>'Design Converter'!H53</f>
        <v>6</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153800.00000000003</v>
      </c>
      <c r="C159" s="2" t="s">
        <v>36</v>
      </c>
      <c r="E159" s="32" t="s">
        <v>405</v>
      </c>
    </row>
    <row r="160" spans="1:5" s="32" customFormat="1" x14ac:dyDescent="0.3">
      <c r="A160" s="32" t="s">
        <v>307</v>
      </c>
      <c r="B160" s="3">
        <f>'Design Converter'!H55*1000</f>
        <v>42000</v>
      </c>
      <c r="C160" s="2" t="s">
        <v>36</v>
      </c>
      <c r="E160" s="32" t="s">
        <v>406</v>
      </c>
    </row>
    <row r="161" spans="1:5" s="32" customFormat="1" x14ac:dyDescent="0.3">
      <c r="A161" s="32" t="s">
        <v>308</v>
      </c>
      <c r="B161" s="30">
        <f>UV_rise*Ruvlo_top/(Vuvlo_on-UV_rise)</f>
        <v>11454.545454545454</v>
      </c>
      <c r="C161" s="2" t="s">
        <v>36</v>
      </c>
      <c r="E161" s="32" t="s">
        <v>407</v>
      </c>
    </row>
    <row r="162" spans="1:5" s="32" customFormat="1" x14ac:dyDescent="0.3">
      <c r="A162" s="32" t="s">
        <v>309</v>
      </c>
      <c r="B162" s="29">
        <f>UV_rise*(Ruvlo_top+Ruvlo_bottom_calc)/Ruvlo_bottom_calc</f>
        <v>7</v>
      </c>
      <c r="E162" s="32" t="s">
        <v>311</v>
      </c>
    </row>
    <row r="163" spans="1:5" s="32" customFormat="1" x14ac:dyDescent="0.3">
      <c r="A163" s="32" t="s">
        <v>310</v>
      </c>
      <c r="B163" s="29">
        <f>Ruvlo_top*((UV_fall/Ruvlo_top)-(UV_I_hyst)+(UV_fall/Ruvlo_bottom_calc))</f>
        <v>6.5566666666666675</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18V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13636.363636363636</v>
      </c>
      <c r="C171" s="2" t="s">
        <v>36</v>
      </c>
      <c r="E171" s="32" t="s">
        <v>244</v>
      </c>
    </row>
    <row r="172" spans="1:5" x14ac:dyDescent="0.3">
      <c r="A172" t="s">
        <v>187</v>
      </c>
      <c r="B172" s="3">
        <f>'Design Converter'!H64*(10^3)</f>
        <v>14000</v>
      </c>
      <c r="C172" s="2" t="s">
        <v>36</v>
      </c>
      <c r="E172" t="s">
        <v>245</v>
      </c>
    </row>
    <row r="173" spans="1:5" x14ac:dyDescent="0.3">
      <c r="A173" t="s">
        <v>246</v>
      </c>
      <c r="B173" s="1">
        <f>VOUT/(RFBB+RFBT)</f>
        <v>7.317073170731707E-5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13.593749999999998</v>
      </c>
    </row>
    <row r="179" spans="1:5" s="32" customFormat="1" x14ac:dyDescent="0.3"/>
    <row r="180" spans="1:5" s="32" customFormat="1" x14ac:dyDescent="0.3">
      <c r="A180" s="32" t="s">
        <v>410</v>
      </c>
      <c r="B180" s="22">
        <f>(1+Dc_VIN_min)/(Cout*(VOUT/IOUT))</f>
        <v>3013.1826741996233</v>
      </c>
      <c r="C180" s="32" t="s">
        <v>392</v>
      </c>
      <c r="E180" s="32" t="s">
        <v>391</v>
      </c>
    </row>
    <row r="181" spans="1:5" s="32" customFormat="1" x14ac:dyDescent="0.3">
      <c r="A181" s="32" t="s">
        <v>411</v>
      </c>
      <c r="B181" s="1">
        <f>B180/(2*PI())</f>
        <v>479.56291703772609</v>
      </c>
      <c r="C181" s="32" t="s">
        <v>67</v>
      </c>
      <c r="E181" s="32" t="s">
        <v>248</v>
      </c>
    </row>
    <row r="182" spans="1:5" s="32" customFormat="1" x14ac:dyDescent="0.3">
      <c r="B182" s="27"/>
    </row>
    <row r="183" spans="1:5" s="32" customFormat="1" x14ac:dyDescent="0.3">
      <c r="A183" s="32" t="s">
        <v>412</v>
      </c>
      <c r="B183" s="22">
        <f>1/(Cout*Resr)</f>
        <v>564971.75141242938</v>
      </c>
      <c r="C183" s="32" t="s">
        <v>393</v>
      </c>
      <c r="E183" s="32" t="s">
        <v>394</v>
      </c>
    </row>
    <row r="184" spans="1:5" s="32" customFormat="1" x14ac:dyDescent="0.3">
      <c r="A184" s="32" t="s">
        <v>413</v>
      </c>
      <c r="B184" s="1">
        <f>B183/(2*PI())</f>
        <v>89918.046944573638</v>
      </c>
      <c r="C184" s="32" t="s">
        <v>67</v>
      </c>
      <c r="E184" s="32" t="s">
        <v>250</v>
      </c>
    </row>
    <row r="185" spans="1:5" s="32" customFormat="1" x14ac:dyDescent="0.3">
      <c r="B185" s="27"/>
    </row>
    <row r="186" spans="1:5" s="32" customFormat="1" x14ac:dyDescent="0.3">
      <c r="A186" s="32" t="s">
        <v>414</v>
      </c>
      <c r="B186" s="22">
        <f>((VOUT/IOUT)*((1-Dc_VIN_min)^2))/(Lm*Dc_VIN_min)</f>
        <v>121212.12121212126</v>
      </c>
      <c r="E186" s="32" t="s">
        <v>390</v>
      </c>
    </row>
    <row r="187" spans="1:5" s="32" customFormat="1" x14ac:dyDescent="0.3">
      <c r="A187" s="32" t="s">
        <v>415</v>
      </c>
      <c r="B187" s="30">
        <f>B186/(2*PI())</f>
        <v>19291.508253563079</v>
      </c>
      <c r="C187" s="32" t="s">
        <v>67</v>
      </c>
      <c r="E187" s="32" t="s">
        <v>249</v>
      </c>
    </row>
    <row r="188" spans="1:5" s="32" customFormat="1" x14ac:dyDescent="0.3">
      <c r="B188" s="27">
        <f>Fsw/10</f>
        <v>100000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39990</v>
      </c>
      <c r="C191" s="32" t="s">
        <v>147</v>
      </c>
      <c r="E191" s="32" t="s">
        <v>210</v>
      </c>
    </row>
    <row r="192" spans="1:5" s="32" customFormat="1" x14ac:dyDescent="0.3">
      <c r="A192" s="32" t="s">
        <v>417</v>
      </c>
      <c r="B192" s="1">
        <f>(R_cs*VIN_min*Acs)/Lm</f>
        <v>9696.9696969696979</v>
      </c>
      <c r="C192" s="32" t="s">
        <v>147</v>
      </c>
      <c r="E192" s="32" t="s">
        <v>211</v>
      </c>
    </row>
    <row r="193" spans="1:5" s="32" customFormat="1" x14ac:dyDescent="0.3">
      <c r="B193" s="1"/>
    </row>
    <row r="194" spans="1:5" s="32" customFormat="1" x14ac:dyDescent="0.3">
      <c r="A194" s="32" t="s">
        <v>418</v>
      </c>
      <c r="B194" s="1">
        <f>2*PI()*Fsw</f>
        <v>6283185.307179586</v>
      </c>
      <c r="C194" s="32" t="s">
        <v>213</v>
      </c>
    </row>
    <row r="195" spans="1:5" s="32" customFormat="1" x14ac:dyDescent="0.3">
      <c r="A195" s="32" t="s">
        <v>419</v>
      </c>
      <c r="B195" s="1">
        <f>1/(PI()*(((1-Dc_VIN_min)*(1+(B191/B192)))-0.5))</f>
        <v>0.20541588402319372</v>
      </c>
    </row>
    <row r="196" spans="1:5" s="32" customFormat="1" x14ac:dyDescent="0.3">
      <c r="E196" s="32">
        <f>fcross</f>
        <v>3500</v>
      </c>
    </row>
    <row r="197" spans="1:5" s="32" customFormat="1" x14ac:dyDescent="0.3">
      <c r="B197" s="27"/>
    </row>
    <row r="198" spans="1:5" s="32" customFormat="1" x14ac:dyDescent="0.3">
      <c r="A198" s="32" t="s">
        <v>489</v>
      </c>
      <c r="B198" s="29">
        <f>IF(B189=0,fz_rhp/6,Fsw/10)</f>
        <v>3215.2513755938467</v>
      </c>
      <c r="C198" s="32" t="s">
        <v>67</v>
      </c>
      <c r="E198" s="32" t="s">
        <v>585</v>
      </c>
    </row>
    <row r="199" spans="1:5" s="32" customFormat="1" x14ac:dyDescent="0.3"/>
    <row r="200" spans="1:5" s="32" customFormat="1" x14ac:dyDescent="0.3"/>
    <row r="201" spans="1:5" s="32" customFormat="1" x14ac:dyDescent="0.3">
      <c r="A201" s="32" t="s">
        <v>261</v>
      </c>
      <c r="B201" s="72">
        <f>SQRT(B181*fcross)</f>
        <v>1295.5578758326628</v>
      </c>
      <c r="C201" s="32" t="s">
        <v>67</v>
      </c>
      <c r="E201" s="32" t="s">
        <v>513</v>
      </c>
    </row>
    <row r="202" spans="1:5" s="32" customFormat="1" x14ac:dyDescent="0.3">
      <c r="A202" s="32" t="s">
        <v>263</v>
      </c>
      <c r="B202" s="46">
        <f>fz_rhp</f>
        <v>19291.508253563079</v>
      </c>
      <c r="C202" s="32" t="s">
        <v>67</v>
      </c>
      <c r="E202" s="32" t="s">
        <v>429</v>
      </c>
    </row>
    <row r="203" spans="1:5" s="32" customFormat="1" x14ac:dyDescent="0.3">
      <c r="A203" s="32" t="s">
        <v>254</v>
      </c>
      <c r="B203" s="3">
        <f>fcross</f>
        <v>3500</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3221.3241085222794</v>
      </c>
      <c r="C206" s="2" t="s">
        <v>36</v>
      </c>
      <c r="E206" s="32" t="s">
        <v>260</v>
      </c>
    </row>
    <row r="207" spans="1:5" s="32" customFormat="1" x14ac:dyDescent="0.3">
      <c r="A207" s="32" t="s">
        <v>494</v>
      </c>
      <c r="B207" s="23">
        <f>1/(2*PI()*fz_ea_est*Rcomp_calc_CCM)</f>
        <v>3.8135451275584967E-8</v>
      </c>
      <c r="C207" s="2" t="s">
        <v>158</v>
      </c>
      <c r="E207" s="32" t="s">
        <v>487</v>
      </c>
    </row>
    <row r="208" spans="1:5" s="32" customFormat="1" x14ac:dyDescent="0.3">
      <c r="A208" s="32" t="s">
        <v>495</v>
      </c>
      <c r="B208" s="234">
        <f>(IOUT*Lm)/(Rcomp_calc_CCM*((1-Dc_VIN_min)^2)*(VIN_min+VOUT))</f>
        <v>2.5610586585106233E-9</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103.12457471747651</v>
      </c>
      <c r="C213" s="32" t="s">
        <v>147</v>
      </c>
      <c r="E213" s="32" t="s">
        <v>500</v>
      </c>
    </row>
    <row r="214" spans="1:5" s="32" customFormat="1" x14ac:dyDescent="0.3">
      <c r="A214" s="32" t="s">
        <v>475</v>
      </c>
      <c r="B214" s="32">
        <f>(B213*2*VOUT/Dc_VIN_min)*(((VOUT/VIN_min)-1)/((2*VOUT/VIN_min)-1))</f>
        <v>1031.2457471747653</v>
      </c>
      <c r="C214" s="32" t="s">
        <v>147</v>
      </c>
    </row>
    <row r="215" spans="1:5" s="32" customFormat="1" x14ac:dyDescent="0.3">
      <c r="A215" s="32" t="s">
        <v>477</v>
      </c>
      <c r="B215" s="32">
        <f>(IOUT*((2*VOUT)-VIN_min))/(Cout*VOUT*(VOUT-VIN_min))</f>
        <v>7532.956685499058</v>
      </c>
      <c r="C215" s="32" t="s">
        <v>392</v>
      </c>
    </row>
    <row r="216" spans="1:5" s="32" customFormat="1" x14ac:dyDescent="0.3">
      <c r="B216" s="32">
        <f>B215/(2*PI())</f>
        <v>1198.9072925943151</v>
      </c>
      <c r="C216" s="32" t="s">
        <v>67</v>
      </c>
    </row>
    <row r="217" spans="1:5" s="32" customFormat="1" x14ac:dyDescent="0.3">
      <c r="A217" s="32" t="s">
        <v>478</v>
      </c>
      <c r="B217" s="32">
        <f>1/(Cout*Resr)</f>
        <v>564971.75141242938</v>
      </c>
      <c r="C217" s="32" t="s">
        <v>392</v>
      </c>
    </row>
    <row r="218" spans="1:5" s="32" customFormat="1" x14ac:dyDescent="0.3">
      <c r="B218" s="32">
        <f>B217/(2*PI())</f>
        <v>89918.046944573638</v>
      </c>
      <c r="C218" s="32" t="s">
        <v>67</v>
      </c>
    </row>
    <row r="219" spans="1:5" s="32" customFormat="1" x14ac:dyDescent="0.3">
      <c r="A219" s="32" t="s">
        <v>479</v>
      </c>
      <c r="B219" s="32">
        <f>2*Fsw/(Dc_VIN_min)</f>
        <v>3333333.3333333335</v>
      </c>
      <c r="C219" s="32" t="s">
        <v>392</v>
      </c>
      <c r="E219" s="32" t="s">
        <v>499</v>
      </c>
    </row>
    <row r="220" spans="1:5" s="32" customFormat="1" x14ac:dyDescent="0.3">
      <c r="B220" s="32">
        <f>B219/(2*PI())</f>
        <v>530516.4769729845</v>
      </c>
      <c r="C220" s="32" t="s">
        <v>67</v>
      </c>
    </row>
    <row r="221" spans="1:5" s="32" customFormat="1" x14ac:dyDescent="0.3"/>
    <row r="222" spans="1:5" s="32" customFormat="1" x14ac:dyDescent="0.3">
      <c r="A222" s="32" t="s">
        <v>480</v>
      </c>
      <c r="B222" s="32">
        <f>2*Fsw/(2*PI()*Dc_VIN_min*5)</f>
        <v>106103.29539459689</v>
      </c>
      <c r="C222" s="32" t="s">
        <v>67</v>
      </c>
      <c r="E222" s="32" t="s">
        <v>482</v>
      </c>
    </row>
    <row r="223" spans="1:5" s="32" customFormat="1" x14ac:dyDescent="0.3">
      <c r="B223" s="32">
        <f>20*LOG(Gcomp*B214*(B215/(2*PI())))</f>
        <v>105.07031549336313</v>
      </c>
      <c r="E223" s="32" t="s">
        <v>481</v>
      </c>
    </row>
    <row r="224" spans="1:5" s="32" customFormat="1" x14ac:dyDescent="0.3">
      <c r="A224" s="32" t="s">
        <v>254</v>
      </c>
      <c r="B224" s="3">
        <f>fcross</f>
        <v>3500</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117.13954156953584</v>
      </c>
      <c r="C227" s="32" t="s">
        <v>490</v>
      </c>
      <c r="E227" s="32" t="s">
        <v>260</v>
      </c>
    </row>
    <row r="228" spans="1:5" s="32" customFormat="1" x14ac:dyDescent="0.3">
      <c r="A228" s="32" t="s">
        <v>491</v>
      </c>
      <c r="B228" s="32">
        <f>1/(2*PI()*SQRT(fcross*(B215/(2*PI())))*B227)</f>
        <v>6.6326913565953323E-7</v>
      </c>
      <c r="C228" s="32" t="s">
        <v>158</v>
      </c>
      <c r="E228" s="32" t="s">
        <v>487</v>
      </c>
    </row>
    <row r="229" spans="1:5" s="32" customFormat="1" x14ac:dyDescent="0.3">
      <c r="A229" s="32" t="s">
        <v>492</v>
      </c>
      <c r="B229" s="32">
        <f>B228/((2*PI()*B228*B227*(B219/(2*PI())))-1)</f>
        <v>2.5709752756804118E-9</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3215.2513755938467</v>
      </c>
      <c r="C232" s="32" t="s">
        <v>67</v>
      </c>
      <c r="E232" s="32" t="s">
        <v>484</v>
      </c>
    </row>
    <row r="233" spans="1:5" s="32" customFormat="1" x14ac:dyDescent="0.3">
      <c r="A233" s="32" t="s">
        <v>254</v>
      </c>
      <c r="B233" s="3">
        <f>'Design Converter'!H68*1000</f>
        <v>3500</v>
      </c>
      <c r="C233" s="32" t="s">
        <v>67</v>
      </c>
      <c r="E233" s="32" t="s">
        <v>255</v>
      </c>
    </row>
    <row r="234" spans="1:5" s="32" customFormat="1" x14ac:dyDescent="0.3"/>
    <row r="235" spans="1:5" s="32" customFormat="1" x14ac:dyDescent="0.3">
      <c r="A235" s="32" t="s">
        <v>259</v>
      </c>
      <c r="B235" s="32">
        <f>IF(B52=0,RCOMP_CALC_DCM,Rcomp_calc_CCM)</f>
        <v>3221.3241085222794</v>
      </c>
    </row>
    <row r="236" spans="1:5" s="32" customFormat="1" x14ac:dyDescent="0.3">
      <c r="A236" t="s">
        <v>176</v>
      </c>
      <c r="B236" s="3">
        <f>'Design Converter'!H71*1000</f>
        <v>4270</v>
      </c>
      <c r="C236" s="2" t="s">
        <v>36</v>
      </c>
      <c r="D236"/>
      <c r="E236" t="s">
        <v>183</v>
      </c>
    </row>
    <row r="237" spans="1:5" s="32" customFormat="1" x14ac:dyDescent="0.3">
      <c r="A237" s="32" t="s">
        <v>262</v>
      </c>
      <c r="B237" s="32">
        <f>IF(B52=0,CCOMP_CALC_DCM,CCOMP_calc_CCM)</f>
        <v>3.8135451275584967E-8</v>
      </c>
    </row>
    <row r="238" spans="1:5" s="32" customFormat="1" x14ac:dyDescent="0.3">
      <c r="A238" t="s">
        <v>181</v>
      </c>
      <c r="B238" s="3">
        <f>'Design Converter'!H72*(10^-9)</f>
        <v>3.6000000000000005E-8</v>
      </c>
      <c r="C238" t="s">
        <v>158</v>
      </c>
      <c r="D238"/>
      <c r="E238" t="s">
        <v>184</v>
      </c>
    </row>
    <row r="239" spans="1:5" s="32" customFormat="1" x14ac:dyDescent="0.3">
      <c r="A239" s="32" t="s">
        <v>496</v>
      </c>
      <c r="B239" s="32">
        <f>IF(B52=0,CHF_CALC_DCM,CHF_CALC_CCM)</f>
        <v>2.5610586585106233E-9</v>
      </c>
    </row>
    <row r="240" spans="1:5" s="32" customFormat="1" x14ac:dyDescent="0.3">
      <c r="A240" t="s">
        <v>182</v>
      </c>
      <c r="B240" s="3">
        <f>'Design Converter'!H73*(10^-12)</f>
        <v>2.0000000000000001E-9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6.5000000000000002E-2</v>
      </c>
      <c r="C245" t="s">
        <v>10</v>
      </c>
      <c r="E245" t="s">
        <v>322</v>
      </c>
    </row>
    <row r="246" spans="1:5" x14ac:dyDescent="0.3">
      <c r="A246" t="s">
        <v>352</v>
      </c>
      <c r="B246">
        <f>'Design Converter'!H89*(10^-9)</f>
        <v>1.6E-7</v>
      </c>
      <c r="C246" t="s">
        <v>350</v>
      </c>
      <c r="E246" t="s">
        <v>351</v>
      </c>
    </row>
    <row r="248" spans="1:5" s="32" customFormat="1" x14ac:dyDescent="0.3"/>
    <row r="249" spans="1:5" x14ac:dyDescent="0.3">
      <c r="A249" s="44" t="s">
        <v>342</v>
      </c>
    </row>
    <row r="250" spans="1:5" ht="15.6" x14ac:dyDescent="0.35">
      <c r="A250" t="s">
        <v>353</v>
      </c>
      <c r="B250" s="3">
        <f>'Design Converter'!H78*(10^-3)</f>
        <v>5.0000000000000001E-3</v>
      </c>
      <c r="C250" s="2" t="s">
        <v>36</v>
      </c>
      <c r="E250" s="102" t="s">
        <v>328</v>
      </c>
    </row>
    <row r="251" spans="1:5" ht="15.6" x14ac:dyDescent="0.35">
      <c r="A251" t="s">
        <v>343</v>
      </c>
      <c r="B251" s="3">
        <f>'Design Converter'!H79*(10^-9)</f>
        <v>1.8000000000000002E-8</v>
      </c>
      <c r="C251" t="s">
        <v>158</v>
      </c>
      <c r="E251" s="102" t="s">
        <v>329</v>
      </c>
    </row>
    <row r="252" spans="1:5" ht="15.6" x14ac:dyDescent="0.35">
      <c r="A252" t="s">
        <v>345</v>
      </c>
      <c r="B252" s="3">
        <f>'Design Converter'!H80*(10^-9)</f>
        <v>5.9000000000000007E-9</v>
      </c>
      <c r="C252" t="s">
        <v>158</v>
      </c>
      <c r="E252" s="102" t="s">
        <v>330</v>
      </c>
    </row>
    <row r="253" spans="1:5" ht="15.6" x14ac:dyDescent="0.35">
      <c r="A253" t="s">
        <v>344</v>
      </c>
      <c r="B253" s="3">
        <f>'Design Converter'!H81*(10^-9)</f>
        <v>7.4000000000000009E-9</v>
      </c>
      <c r="C253" t="s">
        <v>158</v>
      </c>
      <c r="E253" s="102" t="s">
        <v>331</v>
      </c>
    </row>
    <row r="254" spans="1:5" ht="15.6" x14ac:dyDescent="0.35">
      <c r="A254" t="s">
        <v>346</v>
      </c>
      <c r="B254" s="3">
        <f>'Design Converter'!H82</f>
        <v>2</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1.77</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2.17</v>
      </c>
      <c r="C261" s="2" t="s">
        <v>10</v>
      </c>
      <c r="E261" s="102" t="s">
        <v>357</v>
      </c>
    </row>
    <row r="262" spans="1:8" x14ac:dyDescent="0.3">
      <c r="A262" t="s">
        <v>365</v>
      </c>
      <c r="B262" s="1">
        <f>(Qgd+(Qgs/2))*((Rgate+B255)/(Vcc-B261))</f>
        <v>7.3362445414847171E-9</v>
      </c>
      <c r="C262" s="2" t="s">
        <v>52</v>
      </c>
      <c r="E262" s="102" t="s">
        <v>358</v>
      </c>
    </row>
    <row r="263" spans="1:8" ht="15" thickBot="1" x14ac:dyDescent="0.35">
      <c r="A263" t="s">
        <v>366</v>
      </c>
      <c r="B263" s="38">
        <f>(Qgd+(Qgs/2))*((B255+Rgate)/B261)</f>
        <v>1.5483870967741938E-8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88671875" style="32"/>
    <col min="21" max="21" width="8.88671875" style="32"/>
    <col min="24" max="24" width="8.88671875" style="32"/>
    <col min="25" max="25" width="12" bestFit="1" customWidth="1"/>
    <col min="28" max="28" width="8.88671875" style="32"/>
    <col min="30" max="30" width="8.88671875" style="32"/>
    <col min="35" max="35" width="8.88671875" style="32"/>
    <col min="39" max="39" width="11" bestFit="1" customWidth="1"/>
    <col min="42" max="43" width="8.886718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0.12150000000000002</v>
      </c>
      <c r="AQ7" s="98">
        <f t="shared" ref="AQ7" si="17">IQ*T7</f>
        <v>8.0999999999999996E-3</v>
      </c>
      <c r="AR7" s="97">
        <f>AO7+AN7+AI7+AP7+AQ7</f>
        <v>4.9400000000000004</v>
      </c>
      <c r="AS7" s="96">
        <f>R7*S7</f>
        <v>0</v>
      </c>
      <c r="AT7" s="98">
        <f>(AS7/(AS7+AR7))*100</f>
        <v>0</v>
      </c>
    </row>
    <row r="8" spans="1:46" x14ac:dyDescent="0.3">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2.6160216740927957E-4</v>
      </c>
      <c r="AH8" s="96">
        <f t="shared" si="11"/>
        <v>3.0426820678968874E-2</v>
      </c>
      <c r="AI8" s="98">
        <f t="shared" ref="AI8:AI71" si="24">AG8+AH8</f>
        <v>3.0688422846378155E-2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0.12150000000000002</v>
      </c>
      <c r="AQ8" s="98">
        <f t="shared" ref="AQ8:AQ71" si="29">IQ*T8</f>
        <v>8.0999999999999996E-3</v>
      </c>
      <c r="AR8" s="97">
        <f t="shared" ref="AR8:AR71" si="30">AO8+AN8+AI8+AP8+AQ8</f>
        <v>4.9743643712469723</v>
      </c>
      <c r="AS8" s="96">
        <f t="shared" ref="AS8:AS71" si="31">R8*S8</f>
        <v>0.64</v>
      </c>
      <c r="AT8" s="98">
        <f t="shared" ref="AT8:AT71" si="32">(AS8/(AS8+AR8))*100</f>
        <v>11.399331387853147</v>
      </c>
    </row>
    <row r="9" spans="1:46" x14ac:dyDescent="0.3">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8.452042032229876E-4</v>
      </c>
      <c r="AH9" s="96">
        <f t="shared" si="11"/>
        <v>6.0853641357937749E-2</v>
      </c>
      <c r="AI9" s="98">
        <f t="shared" si="24"/>
        <v>6.1698845561160738E-2</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0.12150000000000002</v>
      </c>
      <c r="AQ9" s="98">
        <f t="shared" si="29"/>
        <v>8.0999999999999996E-3</v>
      </c>
      <c r="AR9" s="97">
        <f t="shared" si="30"/>
        <v>5.0093083422570723</v>
      </c>
      <c r="AS9" s="96">
        <f t="shared" si="31"/>
        <v>1.28</v>
      </c>
      <c r="AT9" s="98">
        <f t="shared" si="32"/>
        <v>20.351999462323082</v>
      </c>
    </row>
    <row r="10" spans="1:46" x14ac:dyDescent="0.3">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1.7127633534024221E-3</v>
      </c>
      <c r="AH10" s="96">
        <f t="shared" si="11"/>
        <v>9.1280462036906623E-2</v>
      </c>
      <c r="AI10" s="98">
        <f t="shared" si="24"/>
        <v>9.2993225390309048E-2</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0.12150000000000002</v>
      </c>
      <c r="AQ10" s="98">
        <f t="shared" si="29"/>
        <v>8.0999999999999996E-3</v>
      </c>
      <c r="AR10" s="97">
        <f t="shared" si="30"/>
        <v>5.0447634360730307</v>
      </c>
      <c r="AS10" s="96">
        <f t="shared" si="31"/>
        <v>1.92</v>
      </c>
      <c r="AT10" s="98">
        <f t="shared" si="32"/>
        <v>27.567339761399861</v>
      </c>
    </row>
    <row r="11" spans="1:46" x14ac:dyDescent="0.3">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2.8571383723324218E-3</v>
      </c>
      <c r="AH11" s="96">
        <f t="shared" si="11"/>
        <v>0.1217072827158755</v>
      </c>
      <c r="AI11" s="98">
        <f t="shared" si="24"/>
        <v>0.12456442108820792</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0.12150000000000002</v>
      </c>
      <c r="AQ11" s="98">
        <f t="shared" si="29"/>
        <v>8.0999999999999996E-3</v>
      </c>
      <c r="AR11" s="97">
        <f t="shared" si="30"/>
        <v>5.080716798452741</v>
      </c>
      <c r="AS11" s="96">
        <f t="shared" si="31"/>
        <v>2.56</v>
      </c>
      <c r="AT11" s="98">
        <f t="shared" si="32"/>
        <v>33.504709931382415</v>
      </c>
    </row>
    <row r="12" spans="1:46" x14ac:dyDescent="0.3">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4.2776112794523907E-3</v>
      </c>
      <c r="AH12" s="96">
        <f t="shared" si="11"/>
        <v>0.15213410339484434</v>
      </c>
      <c r="AI12" s="98">
        <f t="shared" si="24"/>
        <v>0.15641171467429674</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0.12150000000000002</v>
      </c>
      <c r="AQ12" s="98">
        <f t="shared" si="29"/>
        <v>8.0999999999999996E-3</v>
      </c>
      <c r="AR12" s="97">
        <f t="shared" si="30"/>
        <v>5.1171671370311929</v>
      </c>
      <c r="AS12" s="96">
        <f t="shared" si="31"/>
        <v>3.2</v>
      </c>
      <c r="AT12" s="98">
        <f t="shared" si="32"/>
        <v>38.474638627284314</v>
      </c>
    </row>
    <row r="13" spans="1:46" x14ac:dyDescent="0.3">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5.9760332702608297E-3</v>
      </c>
      <c r="AH13" s="96">
        <f t="shared" si="11"/>
        <v>0.18256092407381325</v>
      </c>
      <c r="AI13" s="98">
        <f t="shared" si="24"/>
        <v>0.18853695734407408</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0.12150000000000002</v>
      </c>
      <c r="AQ13" s="98">
        <f t="shared" si="29"/>
        <v>8.0999999999999996E-3</v>
      </c>
      <c r="AR13" s="97">
        <f t="shared" si="30"/>
        <v>5.1541177839602836</v>
      </c>
      <c r="AS13" s="96">
        <f t="shared" si="31"/>
        <v>3.84</v>
      </c>
      <c r="AT13" s="98">
        <f t="shared" si="32"/>
        <v>42.69457096557138</v>
      </c>
    </row>
    <row r="14" spans="1:46" x14ac:dyDescent="0.3">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7.9555178512274814E-3</v>
      </c>
      <c r="AH14" s="96">
        <f t="shared" si="11"/>
        <v>0.21298774475278212</v>
      </c>
      <c r="AI14" s="98">
        <f t="shared" si="24"/>
        <v>0.22094326260400959</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0.12150000000000002</v>
      </c>
      <c r="AQ14" s="98">
        <f t="shared" si="29"/>
        <v>8.0999999999999996E-3</v>
      </c>
      <c r="AR14" s="97">
        <f t="shared" si="30"/>
        <v>5.1915743435516584</v>
      </c>
      <c r="AS14" s="96">
        <f t="shared" si="31"/>
        <v>4.4800000000000004</v>
      </c>
      <c r="AT14" s="98">
        <f t="shared" si="32"/>
        <v>46.321310686992312</v>
      </c>
    </row>
    <row r="15" spans="1:46" x14ac:dyDescent="0.3">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1.0219868951973157E-2</v>
      </c>
      <c r="AH15" s="96">
        <f t="shared" si="11"/>
        <v>0.243414565431751</v>
      </c>
      <c r="AI15" s="98">
        <f t="shared" si="24"/>
        <v>0.25363443438372413</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0.12150000000000002</v>
      </c>
      <c r="AQ15" s="98">
        <f t="shared" si="29"/>
        <v>8.0999999999999996E-3</v>
      </c>
      <c r="AR15" s="97">
        <f t="shared" si="30"/>
        <v>5.229543662878636</v>
      </c>
      <c r="AS15" s="96">
        <f t="shared" si="31"/>
        <v>5.12</v>
      </c>
      <c r="AT15" s="98">
        <f t="shared" si="32"/>
        <v>49.470780227385561</v>
      </c>
    </row>
    <row r="16" spans="1:46" x14ac:dyDescent="0.3">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1.2773291850496023E-2</v>
      </c>
      <c r="AH16" s="96">
        <f t="shared" si="11"/>
        <v>0.27384138611071984</v>
      </c>
      <c r="AI16" s="98">
        <f t="shared" si="24"/>
        <v>0.28661467796121587</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0.12150000000000002</v>
      </c>
      <c r="AQ16" s="98">
        <f t="shared" si="29"/>
        <v>8.0999999999999996E-3</v>
      </c>
      <c r="AR16" s="97">
        <f t="shared" si="30"/>
        <v>5.2680333114416138</v>
      </c>
      <c r="AS16" s="96">
        <f t="shared" si="31"/>
        <v>5.7600000000000007</v>
      </c>
      <c r="AT16" s="98">
        <f t="shared" si="32"/>
        <v>52.230527758961202</v>
      </c>
    </row>
    <row r="17" spans="17:46" x14ac:dyDescent="0.3">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1.5620232657339243E-2</v>
      </c>
      <c r="AH17" s="96">
        <f t="shared" si="11"/>
        <v>0.30426820678968869</v>
      </c>
      <c r="AI17" s="98">
        <f t="shared" si="24"/>
        <v>0.31988843944702794</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0.12150000000000002</v>
      </c>
      <c r="AQ17" s="98">
        <f t="shared" si="29"/>
        <v>8.0999999999999996E-3</v>
      </c>
      <c r="AR17" s="97">
        <f t="shared" si="30"/>
        <v>5.3070512922395663</v>
      </c>
      <c r="AS17" s="96">
        <f t="shared" si="31"/>
        <v>6.4</v>
      </c>
      <c r="AT17" s="98">
        <f t="shared" si="32"/>
        <v>54.66790774413424</v>
      </c>
    </row>
    <row r="18" spans="17:46" x14ac:dyDescent="0.3">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1.8765283119769289E-2</v>
      </c>
      <c r="AH18" s="96">
        <f t="shared" si="11"/>
        <v>0.33469502746865765</v>
      </c>
      <c r="AI18" s="98">
        <f t="shared" si="24"/>
        <v>0.35346031058842692</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0.12150000000000002</v>
      </c>
      <c r="AQ18" s="98">
        <f t="shared" si="29"/>
        <v>8.0999999999999996E-3</v>
      </c>
      <c r="AR18" s="97">
        <f t="shared" si="30"/>
        <v>5.3466058704175765</v>
      </c>
      <c r="AS18" s="96">
        <f t="shared" si="31"/>
        <v>7.04</v>
      </c>
      <c r="AT18" s="98">
        <f t="shared" si="32"/>
        <v>56.83558574196136</v>
      </c>
    </row>
    <row r="19" spans="17:46" x14ac:dyDescent="0.3">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2.2213121386181558E-2</v>
      </c>
      <c r="AH19" s="96">
        <f t="shared" si="11"/>
        <v>0.36512184814762649</v>
      </c>
      <c r="AI19" s="98">
        <f t="shared" si="24"/>
        <v>0.38733496953380803</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0.12150000000000002</v>
      </c>
      <c r="AQ19" s="98">
        <f t="shared" si="29"/>
        <v>8.0999999999999996E-3</v>
      </c>
      <c r="AR19" s="97">
        <f t="shared" si="30"/>
        <v>5.3867054666427538</v>
      </c>
      <c r="AS19" s="96">
        <f t="shared" si="31"/>
        <v>7.68</v>
      </c>
      <c r="AT19" s="98">
        <f t="shared" si="32"/>
        <v>58.77533567742713</v>
      </c>
    </row>
    <row r="20" spans="17:46" x14ac:dyDescent="0.3">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3.0517179879604129E-3</v>
      </c>
      <c r="AH20" s="96">
        <f t="shared" si="11"/>
        <v>0.3955486688265954</v>
      </c>
      <c r="AI20" s="98">
        <f t="shared" si="24"/>
        <v>0.39860038681455578</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0.12150000000000002</v>
      </c>
      <c r="AQ20" s="98">
        <f t="shared" si="29"/>
        <v>8.0999999999999996E-3</v>
      </c>
      <c r="AR20" s="97">
        <f t="shared" si="30"/>
        <v>5.3861084278715916</v>
      </c>
      <c r="AS20" s="96">
        <f t="shared" si="31"/>
        <v>8.32</v>
      </c>
      <c r="AT20" s="98">
        <f t="shared" si="32"/>
        <v>60.702861383185521</v>
      </c>
    </row>
    <row r="21" spans="17:46" x14ac:dyDescent="0.3">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3.2223846546270796E-3</v>
      </c>
      <c r="AH21" s="96">
        <f t="shared" si="11"/>
        <v>0.42597548950556424</v>
      </c>
      <c r="AI21" s="98">
        <f t="shared" si="24"/>
        <v>0.42919787416019134</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0.12150000000000002</v>
      </c>
      <c r="AQ21" s="98">
        <f t="shared" si="29"/>
        <v>8.0999999999999996E-3</v>
      </c>
      <c r="AR21" s="97">
        <f t="shared" si="30"/>
        <v>5.4203091152172274</v>
      </c>
      <c r="AS21" s="96">
        <f t="shared" si="31"/>
        <v>8.9600000000000009</v>
      </c>
      <c r="AT21" s="98">
        <f t="shared" si="32"/>
        <v>62.307422797459466</v>
      </c>
    </row>
    <row r="22" spans="17:46" x14ac:dyDescent="0.3">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3.4056932966023885E-3</v>
      </c>
      <c r="AH22" s="96">
        <f t="shared" si="11"/>
        <v>0.4564023101845332</v>
      </c>
      <c r="AI22" s="98">
        <f t="shared" si="24"/>
        <v>0.4598080034811356</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0.12150000000000002</v>
      </c>
      <c r="AQ22" s="98">
        <f t="shared" si="29"/>
        <v>8.0999999999999996E-3</v>
      </c>
      <c r="AR22" s="97">
        <f t="shared" si="30"/>
        <v>5.4545325581184176</v>
      </c>
      <c r="AS22" s="96">
        <f t="shared" si="31"/>
        <v>9.6000000000000014</v>
      </c>
      <c r="AT22" s="98">
        <f t="shared" si="32"/>
        <v>63.768170568823365</v>
      </c>
    </row>
    <row r="23" spans="17:46" x14ac:dyDescent="0.3">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3.6016439138863389E-3</v>
      </c>
      <c r="AH23" s="96">
        <f t="shared" si="11"/>
        <v>0.48682913086350199</v>
      </c>
      <c r="AI23" s="98">
        <f t="shared" si="24"/>
        <v>0.49043077477738833</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0.12150000000000002</v>
      </c>
      <c r="AQ23" s="98">
        <f t="shared" si="29"/>
        <v>8.0999999999999996E-3</v>
      </c>
      <c r="AR23" s="97">
        <f t="shared" si="30"/>
        <v>5.4887787565751642</v>
      </c>
      <c r="AS23" s="96">
        <f t="shared" si="31"/>
        <v>10.24</v>
      </c>
      <c r="AT23" s="98">
        <f t="shared" si="32"/>
        <v>65.10359232892975</v>
      </c>
    </row>
    <row r="24" spans="17:46" x14ac:dyDescent="0.3">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3.810236506478932E-3</v>
      </c>
      <c r="AH24" s="96">
        <f t="shared" si="11"/>
        <v>0.51725595154247073</v>
      </c>
      <c r="AI24" s="98">
        <f t="shared" si="24"/>
        <v>0.52106618804894966</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0.12150000000000002</v>
      </c>
      <c r="AQ24" s="98">
        <f t="shared" si="29"/>
        <v>8.0999999999999996E-3</v>
      </c>
      <c r="AR24" s="97">
        <f t="shared" si="30"/>
        <v>5.5230477105874662</v>
      </c>
      <c r="AS24" s="96">
        <f t="shared" si="31"/>
        <v>10.88</v>
      </c>
      <c r="AT24" s="98">
        <f t="shared" si="32"/>
        <v>66.329137072358975</v>
      </c>
    </row>
    <row r="25" spans="17:46" x14ac:dyDescent="0.3">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4.0314710743801661E-3</v>
      </c>
      <c r="AH25" s="96">
        <f t="shared" si="11"/>
        <v>0.54768277222143968</v>
      </c>
      <c r="AI25" s="98">
        <f t="shared" si="24"/>
        <v>0.55171424329581986</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0.12150000000000002</v>
      </c>
      <c r="AQ25" s="98">
        <f t="shared" si="29"/>
        <v>8.0999999999999996E-3</v>
      </c>
      <c r="AR25" s="97">
        <f t="shared" si="30"/>
        <v>5.5573394201553246</v>
      </c>
      <c r="AS25" s="96">
        <f t="shared" si="31"/>
        <v>11.520000000000001</v>
      </c>
      <c r="AT25" s="98">
        <f t="shared" si="32"/>
        <v>67.457814806934508</v>
      </c>
    </row>
    <row r="26" spans="17:46" x14ac:dyDescent="0.3">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4.2653476175900417E-3</v>
      </c>
      <c r="AH26" s="96">
        <f t="shared" si="11"/>
        <v>0.57810959290040864</v>
      </c>
      <c r="AI26" s="98">
        <f t="shared" si="24"/>
        <v>0.58237494051799865</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0.12150000000000002</v>
      </c>
      <c r="AQ26" s="98">
        <f t="shared" si="29"/>
        <v>8.0999999999999996E-3</v>
      </c>
      <c r="AR26" s="97">
        <f t="shared" si="30"/>
        <v>5.5916538852787374</v>
      </c>
      <c r="AS26" s="96">
        <f t="shared" si="31"/>
        <v>12.16</v>
      </c>
      <c r="AT26" s="98">
        <f t="shared" si="32"/>
        <v>68.500659592536124</v>
      </c>
    </row>
    <row r="27" spans="17:46" x14ac:dyDescent="0.3">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4.5118661361085608E-3</v>
      </c>
      <c r="AH27" s="96">
        <f t="shared" si="11"/>
        <v>0.60853641357937738</v>
      </c>
      <c r="AI27" s="98">
        <f t="shared" si="24"/>
        <v>0.61304827971548592</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0.12150000000000002</v>
      </c>
      <c r="AQ27" s="98">
        <f t="shared" si="29"/>
        <v>8.0999999999999996E-3</v>
      </c>
      <c r="AR27" s="97">
        <f t="shared" si="30"/>
        <v>5.6259911059577075</v>
      </c>
      <c r="AS27" s="96">
        <f t="shared" si="31"/>
        <v>12.8</v>
      </c>
      <c r="AT27" s="98">
        <f t="shared" si="32"/>
        <v>69.467090949921044</v>
      </c>
    </row>
    <row r="28" spans="17:46" x14ac:dyDescent="0.3">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4.7710266299357219E-3</v>
      </c>
      <c r="AH28" s="96">
        <f t="shared" si="11"/>
        <v>0.63896323425834634</v>
      </c>
      <c r="AI28" s="98">
        <f t="shared" si="24"/>
        <v>0.64373426088828201</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0.12150000000000002</v>
      </c>
      <c r="AQ28" s="98">
        <f t="shared" si="29"/>
        <v>8.0999999999999996E-3</v>
      </c>
      <c r="AR28" s="97">
        <f t="shared" si="30"/>
        <v>5.6603510821922312</v>
      </c>
      <c r="AS28" s="96">
        <f t="shared" si="31"/>
        <v>13.440000000000001</v>
      </c>
      <c r="AT28" s="98">
        <f t="shared" si="32"/>
        <v>70.365198745118732</v>
      </c>
    </row>
    <row r="29" spans="17:46" x14ac:dyDescent="0.3">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5.042829099071524E-3</v>
      </c>
      <c r="AH29" s="96">
        <f t="shared" si="11"/>
        <v>0.66939005493731529</v>
      </c>
      <c r="AI29" s="98">
        <f t="shared" si="24"/>
        <v>0.67443288403638679</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0.12150000000000002</v>
      </c>
      <c r="AQ29" s="98">
        <f t="shared" si="29"/>
        <v>8.0999999999999996E-3</v>
      </c>
      <c r="AR29" s="97">
        <f t="shared" si="30"/>
        <v>5.6947338139823103</v>
      </c>
      <c r="AS29" s="96">
        <f t="shared" si="31"/>
        <v>14.08</v>
      </c>
      <c r="AT29" s="98">
        <f t="shared" si="32"/>
        <v>71.201969808788633</v>
      </c>
    </row>
    <row r="30" spans="17:46" x14ac:dyDescent="0.3">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5.3272735435159679E-3</v>
      </c>
      <c r="AH30" s="96">
        <f t="shared" si="11"/>
        <v>0.69981687561628414</v>
      </c>
      <c r="AI30" s="98">
        <f t="shared" si="24"/>
        <v>0.70514414915980006</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0.12150000000000002</v>
      </c>
      <c r="AQ30" s="98">
        <f t="shared" si="29"/>
        <v>8.0999999999999996E-3</v>
      </c>
      <c r="AR30" s="97">
        <f t="shared" si="30"/>
        <v>5.7291393013279466</v>
      </c>
      <c r="AS30" s="96">
        <f t="shared" si="31"/>
        <v>14.720000000000002</v>
      </c>
      <c r="AT30" s="98">
        <f t="shared" si="32"/>
        <v>71.983469734807358</v>
      </c>
    </row>
    <row r="31" spans="17:46" x14ac:dyDescent="0.3">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5.6243599632690546E-3</v>
      </c>
      <c r="AH31" s="96">
        <f t="shared" si="11"/>
        <v>0.73024369629525299</v>
      </c>
      <c r="AI31" s="98">
        <f t="shared" si="24"/>
        <v>0.73586805625852203</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0.12150000000000002</v>
      </c>
      <c r="AQ31" s="98">
        <f t="shared" si="29"/>
        <v>8.0999999999999996E-3</v>
      </c>
      <c r="AR31" s="97">
        <f t="shared" si="30"/>
        <v>5.7635675442291374</v>
      </c>
      <c r="AS31" s="96">
        <f t="shared" si="31"/>
        <v>15.36</v>
      </c>
      <c r="AT31" s="98">
        <f t="shared" si="32"/>
        <v>72.714989870147591</v>
      </c>
    </row>
    <row r="32" spans="17:46" x14ac:dyDescent="0.3">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5.9340883583307823E-3</v>
      </c>
      <c r="AH32" s="96">
        <f t="shared" si="11"/>
        <v>0.76067051697422183</v>
      </c>
      <c r="AI32" s="98">
        <f t="shared" si="24"/>
        <v>0.76660460533255259</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0.12150000000000002</v>
      </c>
      <c r="AQ32" s="98">
        <f t="shared" si="29"/>
        <v>8.0999999999999996E-3</v>
      </c>
      <c r="AR32" s="97">
        <f t="shared" si="30"/>
        <v>5.7980185426858846</v>
      </c>
      <c r="AS32" s="96">
        <f t="shared" si="31"/>
        <v>16</v>
      </c>
      <c r="AT32" s="98">
        <f t="shared" si="32"/>
        <v>73.401167031159559</v>
      </c>
    </row>
    <row r="33" spans="17:46" x14ac:dyDescent="0.3">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6.2564587287011536E-3</v>
      </c>
      <c r="AH33" s="96">
        <f t="shared" si="11"/>
        <v>0.79109733765319079</v>
      </c>
      <c r="AI33" s="98">
        <f t="shared" si="24"/>
        <v>0.79735379638189197</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0.12150000000000002</v>
      </c>
      <c r="AQ33" s="98">
        <f t="shared" si="29"/>
        <v>8.0999999999999996E-3</v>
      </c>
      <c r="AR33" s="97">
        <f t="shared" si="30"/>
        <v>5.8324922966981863</v>
      </c>
      <c r="AS33" s="96">
        <f t="shared" si="31"/>
        <v>16.64</v>
      </c>
      <c r="AT33" s="98">
        <f t="shared" si="32"/>
        <v>74.046081673125613</v>
      </c>
    </row>
    <row r="34" spans="17:46" x14ac:dyDescent="0.3">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6.5914710743801667E-3</v>
      </c>
      <c r="AH34" s="96">
        <f t="shared" si="11"/>
        <v>0.82152415833215975</v>
      </c>
      <c r="AI34" s="98">
        <f t="shared" si="24"/>
        <v>0.82811562940653993</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0.12150000000000002</v>
      </c>
      <c r="AQ34" s="98">
        <f t="shared" si="29"/>
        <v>8.0999999999999996E-3</v>
      </c>
      <c r="AR34" s="97">
        <f t="shared" si="30"/>
        <v>5.8669888062660442</v>
      </c>
      <c r="AS34" s="96">
        <f t="shared" si="31"/>
        <v>17.28</v>
      </c>
      <c r="AT34" s="98">
        <f t="shared" si="32"/>
        <v>74.653338905673067</v>
      </c>
    </row>
    <row r="35" spans="17:46" x14ac:dyDescent="0.3">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6.9391253953678209E-3</v>
      </c>
      <c r="AH35" s="96">
        <f t="shared" si="11"/>
        <v>0.85195097901112848</v>
      </c>
      <c r="AI35" s="98">
        <f t="shared" si="24"/>
        <v>0.85889010440649627</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0.12150000000000002</v>
      </c>
      <c r="AQ35" s="98">
        <f t="shared" si="29"/>
        <v>8.0999999999999996E-3</v>
      </c>
      <c r="AR35" s="97">
        <f t="shared" si="30"/>
        <v>5.9015080713894577</v>
      </c>
      <c r="AS35" s="96">
        <f t="shared" si="31"/>
        <v>17.920000000000002</v>
      </c>
      <c r="AT35" s="98">
        <f t="shared" si="32"/>
        <v>75.226135752180213</v>
      </c>
    </row>
    <row r="36" spans="17:46" x14ac:dyDescent="0.3">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7.2994216916641161E-3</v>
      </c>
      <c r="AH36" s="96">
        <f t="shared" si="11"/>
        <v>0.88237779969009755</v>
      </c>
      <c r="AI36" s="98">
        <f t="shared" si="24"/>
        <v>0.88967722138176164</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0.12150000000000002</v>
      </c>
      <c r="AQ36" s="98">
        <f t="shared" si="29"/>
        <v>8.0999999999999996E-3</v>
      </c>
      <c r="AR36" s="97">
        <f t="shared" si="30"/>
        <v>5.9360500920684265</v>
      </c>
      <c r="AS36" s="96">
        <f t="shared" si="31"/>
        <v>18.560000000000002</v>
      </c>
      <c r="AT36" s="98">
        <f t="shared" si="32"/>
        <v>75.767317303166109</v>
      </c>
    </row>
    <row r="37" spans="17:46" x14ac:dyDescent="0.3">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7.6723599632690575E-3</v>
      </c>
      <c r="AH37" s="96">
        <f t="shared" si="11"/>
        <v>0.9128046203690664</v>
      </c>
      <c r="AI37" s="98">
        <f t="shared" si="24"/>
        <v>0.92047698033233549</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0.12150000000000002</v>
      </c>
      <c r="AQ37" s="98">
        <f t="shared" si="29"/>
        <v>8.0999999999999996E-3</v>
      </c>
      <c r="AR37" s="97">
        <f t="shared" si="30"/>
        <v>5.9706148683029507</v>
      </c>
      <c r="AS37" s="96">
        <f t="shared" si="31"/>
        <v>19.200000000000003</v>
      </c>
      <c r="AT37" s="98">
        <f t="shared" si="32"/>
        <v>76.279423845852591</v>
      </c>
    </row>
    <row r="38" spans="17:46" x14ac:dyDescent="0.3">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8.0579402101826365E-3</v>
      </c>
      <c r="AH38" s="96">
        <f t="shared" si="11"/>
        <v>0.94323144104803525</v>
      </c>
      <c r="AI38" s="98">
        <f t="shared" si="24"/>
        <v>0.95128938125821794</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0.12150000000000002</v>
      </c>
      <c r="AQ38" s="98">
        <f t="shared" si="29"/>
        <v>8.0999999999999996E-3</v>
      </c>
      <c r="AR38" s="97">
        <f t="shared" si="30"/>
        <v>6.0052024000930304</v>
      </c>
      <c r="AS38" s="96">
        <f t="shared" si="31"/>
        <v>19.840000000000003</v>
      </c>
      <c r="AT38" s="98">
        <f t="shared" si="32"/>
        <v>76.764730617581037</v>
      </c>
    </row>
    <row r="39" spans="17:46" x14ac:dyDescent="0.3">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8.4561624324048564E-3</v>
      </c>
      <c r="AH39" s="96">
        <f t="shared" ref="AH39:AH70" si="40">(((R39+T39)*(U39+S39))/2)*Fsw*(tr_sw+tf_sw)</f>
        <v>0.97365826172700398</v>
      </c>
      <c r="AI39" s="98">
        <f t="shared" si="24"/>
        <v>0.98211442415940886</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0.12150000000000002</v>
      </c>
      <c r="AQ39" s="98">
        <f t="shared" si="29"/>
        <v>8.0999999999999996E-3</v>
      </c>
      <c r="AR39" s="97">
        <f t="shared" si="30"/>
        <v>6.0398126874386673</v>
      </c>
      <c r="AS39" s="96">
        <f t="shared" si="31"/>
        <v>20.48</v>
      </c>
      <c r="AT39" s="98">
        <f t="shared" si="32"/>
        <v>77.225281495674082</v>
      </c>
    </row>
    <row r="40" spans="17:46" x14ac:dyDescent="0.3">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8.86702662993572E-3</v>
      </c>
      <c r="AH40" s="96">
        <f t="shared" si="40"/>
        <v>1.0040850824059728</v>
      </c>
      <c r="AI40" s="98">
        <f t="shared" si="24"/>
        <v>1.0129521090359086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0.12150000000000002</v>
      </c>
      <c r="AQ40" s="98">
        <f t="shared" si="29"/>
        <v>8.0999999999999996E-3</v>
      </c>
      <c r="AR40" s="97">
        <f t="shared" si="30"/>
        <v>6.0744457303398578</v>
      </c>
      <c r="AS40" s="96">
        <f t="shared" si="31"/>
        <v>21.12</v>
      </c>
      <c r="AT40" s="98">
        <f t="shared" si="32"/>
        <v>77.662917676006103</v>
      </c>
    </row>
    <row r="41" spans="17:46" x14ac:dyDescent="0.3">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9.2905328027752272E-3</v>
      </c>
      <c r="AH41" s="96">
        <f t="shared" si="40"/>
        <v>1.0345119030849415</v>
      </c>
      <c r="AI41" s="98">
        <f t="shared" si="24"/>
        <v>1.0438024358877167</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0.12150000000000002</v>
      </c>
      <c r="AQ41" s="98">
        <f t="shared" si="29"/>
        <v>8.0999999999999996E-3</v>
      </c>
      <c r="AR41" s="97">
        <f t="shared" si="30"/>
        <v>6.1091015287966037</v>
      </c>
      <c r="AS41" s="96">
        <f t="shared" si="31"/>
        <v>21.76</v>
      </c>
      <c r="AT41" s="98">
        <f t="shared" si="32"/>
        <v>78.079302188898396</v>
      </c>
    </row>
    <row r="42" spans="17:46" x14ac:dyDescent="0.3">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9.7266809509233762E-3</v>
      </c>
      <c r="AH42" s="96">
        <f t="shared" si="40"/>
        <v>1.0649387237639105</v>
      </c>
      <c r="AI42" s="98">
        <f t="shared" si="24"/>
        <v>1.0746654047148338</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0.12150000000000002</v>
      </c>
      <c r="AQ42" s="98">
        <f t="shared" si="29"/>
        <v>8.0999999999999996E-3</v>
      </c>
      <c r="AR42" s="97">
        <f t="shared" si="30"/>
        <v>6.143780082808906</v>
      </c>
      <c r="AS42" s="96">
        <f t="shared" si="31"/>
        <v>22.4</v>
      </c>
      <c r="AT42" s="98">
        <f t="shared" si="32"/>
        <v>78.475940940600481</v>
      </c>
    </row>
    <row r="43" spans="17:46" x14ac:dyDescent="0.3">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1.0175471074380169E-2</v>
      </c>
      <c r="AH43" s="96">
        <f t="shared" si="40"/>
        <v>1.0953655444428794</v>
      </c>
      <c r="AI43" s="98">
        <f t="shared" si="24"/>
        <v>1.1055410155172596</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0.12150000000000002</v>
      </c>
      <c r="AQ43" s="98">
        <f t="shared" si="29"/>
        <v>8.0999999999999996E-3</v>
      </c>
      <c r="AR43" s="97">
        <f t="shared" si="30"/>
        <v>6.1784813923767636</v>
      </c>
      <c r="AS43" s="96">
        <f t="shared" si="31"/>
        <v>23.040000000000003</v>
      </c>
      <c r="AT43" s="98">
        <f t="shared" si="32"/>
        <v>78.854200841564762</v>
      </c>
    </row>
    <row r="44" spans="17:46" x14ac:dyDescent="0.3">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1.0636903173145598E-2</v>
      </c>
      <c r="AH44" s="96">
        <f t="shared" si="40"/>
        <v>1.1257923651218482</v>
      </c>
      <c r="AI44" s="98">
        <f t="shared" si="24"/>
        <v>1.1364292682949939</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0.12150000000000002</v>
      </c>
      <c r="AQ44" s="98">
        <f t="shared" si="29"/>
        <v>8.0999999999999996E-3</v>
      </c>
      <c r="AR44" s="97">
        <f t="shared" si="30"/>
        <v>6.2132054575001776</v>
      </c>
      <c r="AS44" s="96">
        <f t="shared" si="31"/>
        <v>23.68</v>
      </c>
      <c r="AT44" s="98">
        <f t="shared" si="32"/>
        <v>79.215325481458905</v>
      </c>
    </row>
    <row r="45" spans="17:46" x14ac:dyDescent="0.3">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1.1110977247219673E-2</v>
      </c>
      <c r="AH45" s="96">
        <f t="shared" si="40"/>
        <v>1.1562191858008173</v>
      </c>
      <c r="AI45" s="98">
        <f t="shared" si="24"/>
        <v>1.1673301630480371</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0.12150000000000002</v>
      </c>
      <c r="AQ45" s="98">
        <f t="shared" si="29"/>
        <v>8.0999999999999996E-3</v>
      </c>
      <c r="AR45" s="97">
        <f t="shared" si="30"/>
        <v>6.2479522781791461</v>
      </c>
      <c r="AS45" s="96">
        <f t="shared" si="31"/>
        <v>24.32</v>
      </c>
      <c r="AT45" s="98">
        <f t="shared" si="32"/>
        <v>79.560448729700383</v>
      </c>
    </row>
    <row r="46" spans="17:46" x14ac:dyDescent="0.3">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1.1597693296602389E-2</v>
      </c>
      <c r="AH46" s="96">
        <f t="shared" si="40"/>
        <v>1.1866460064797861</v>
      </c>
      <c r="AI46" s="98">
        <f t="shared" si="24"/>
        <v>1.1982436997763886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0.12150000000000002</v>
      </c>
      <c r="AQ46" s="98">
        <f t="shared" si="29"/>
        <v>8.0999999999999996E-3</v>
      </c>
      <c r="AR46" s="97">
        <f t="shared" si="30"/>
        <v>6.2827218544136709</v>
      </c>
      <c r="AS46" s="96">
        <f t="shared" si="31"/>
        <v>24.96</v>
      </c>
      <c r="AT46" s="98">
        <f t="shared" si="32"/>
        <v>79.890606574900218</v>
      </c>
    </row>
    <row r="47" spans="17:46" x14ac:dyDescent="0.3">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1.2097051321293748E-2</v>
      </c>
      <c r="AH47" s="96">
        <f t="shared" si="40"/>
        <v>1.2170728271587548</v>
      </c>
      <c r="AI47" s="98">
        <f t="shared" si="24"/>
        <v>1.2291698784800484</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0.12150000000000002</v>
      </c>
      <c r="AQ47" s="98">
        <f t="shared" si="29"/>
        <v>8.0999999999999996E-3</v>
      </c>
      <c r="AR47" s="97">
        <f t="shared" si="30"/>
        <v>6.3175141862037503</v>
      </c>
      <c r="AS47" s="96">
        <f t="shared" si="31"/>
        <v>25.6</v>
      </c>
      <c r="AT47" s="98">
        <f t="shared" si="32"/>
        <v>80.206747463640269</v>
      </c>
    </row>
    <row r="48" spans="17:46" x14ac:dyDescent="0.3">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1.2609051321293748E-2</v>
      </c>
      <c r="AH48" s="96">
        <f t="shared" si="40"/>
        <v>1.2474996478377238</v>
      </c>
      <c r="AI48" s="98">
        <f t="shared" si="24"/>
        <v>1.2601086991590176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0.12150000000000002</v>
      </c>
      <c r="AQ48" s="98">
        <f t="shared" si="29"/>
        <v>8.0999999999999996E-3</v>
      </c>
      <c r="AR48" s="97">
        <f t="shared" si="30"/>
        <v>6.3523292735493868</v>
      </c>
      <c r="AS48" s="96">
        <f t="shared" si="31"/>
        <v>26.240000000000002</v>
      </c>
      <c r="AT48" s="98">
        <f t="shared" si="32"/>
        <v>80.509741355906471</v>
      </c>
    </row>
    <row r="49" spans="17:46" x14ac:dyDescent="0.3">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1.3133693296602389E-2</v>
      </c>
      <c r="AH49" s="96">
        <f t="shared" si="40"/>
        <v>1.2779264685166927</v>
      </c>
      <c r="AI49" s="98">
        <f t="shared" si="24"/>
        <v>1.2910601618132951</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0.12150000000000002</v>
      </c>
      <c r="AQ49" s="98">
        <f t="shared" si="29"/>
        <v>8.0999999999999996E-3</v>
      </c>
      <c r="AR49" s="97">
        <f t="shared" si="30"/>
        <v>6.387167116450577</v>
      </c>
      <c r="AS49" s="96">
        <f t="shared" si="31"/>
        <v>26.880000000000003</v>
      </c>
      <c r="AT49" s="98">
        <f t="shared" si="32"/>
        <v>80.800387679261902</v>
      </c>
    </row>
    <row r="50" spans="17:46" x14ac:dyDescent="0.3">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1.3670977247219674E-2</v>
      </c>
      <c r="AH50" s="96">
        <f t="shared" si="40"/>
        <v>1.3083532891956615</v>
      </c>
      <c r="AI50" s="98">
        <f t="shared" si="24"/>
        <v>1.3220242664428812</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0.12150000000000002</v>
      </c>
      <c r="AQ50" s="98">
        <f t="shared" si="29"/>
        <v>8.0999999999999996E-3</v>
      </c>
      <c r="AR50" s="97">
        <f t="shared" si="30"/>
        <v>6.4220277149073244</v>
      </c>
      <c r="AS50" s="96">
        <f t="shared" si="31"/>
        <v>27.520000000000003</v>
      </c>
      <c r="AT50" s="98">
        <f t="shared" si="32"/>
        <v>81.079422334904365</v>
      </c>
    </row>
    <row r="51" spans="17:46" x14ac:dyDescent="0.3">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1.4220903173145599E-2</v>
      </c>
      <c r="AH51" s="96">
        <f t="shared" si="40"/>
        <v>1.3387801098746306</v>
      </c>
      <c r="AI51" s="98">
        <f t="shared" si="24"/>
        <v>1.3530010130477761</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0.12150000000000002</v>
      </c>
      <c r="AQ51" s="98">
        <f t="shared" si="29"/>
        <v>8.0999999999999996E-3</v>
      </c>
      <c r="AR51" s="97">
        <f t="shared" si="30"/>
        <v>6.4569110689196263</v>
      </c>
      <c r="AS51" s="96">
        <f t="shared" si="31"/>
        <v>28.16</v>
      </c>
      <c r="AT51" s="98">
        <f t="shared" si="32"/>
        <v>81.347523884888489</v>
      </c>
    </row>
    <row r="52" spans="17:46" x14ac:dyDescent="0.3">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1.4783471074380168E-2</v>
      </c>
      <c r="AH52" s="96">
        <f t="shared" si="40"/>
        <v>1.3692069305535997</v>
      </c>
      <c r="AI52" s="98">
        <f t="shared" si="24"/>
        <v>1.3839904016279798</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0.12150000000000002</v>
      </c>
      <c r="AQ52" s="98">
        <f t="shared" si="29"/>
        <v>8.0999999999999996E-3</v>
      </c>
      <c r="AR52" s="97">
        <f t="shared" si="30"/>
        <v>6.4918171784874836</v>
      </c>
      <c r="AS52" s="96">
        <f t="shared" si="31"/>
        <v>28.800000000000004</v>
      </c>
      <c r="AT52" s="98">
        <f t="shared" si="32"/>
        <v>81.605319030031012</v>
      </c>
    </row>
    <row r="53" spans="17:46" x14ac:dyDescent="0.3">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1.5358680950923381E-2</v>
      </c>
      <c r="AH53" s="96">
        <f t="shared" si="40"/>
        <v>1.3996337512325683</v>
      </c>
      <c r="AI53" s="98">
        <f t="shared" si="24"/>
        <v>1.4149924321834917</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0.12150000000000002</v>
      </c>
      <c r="AQ53" s="98">
        <f t="shared" si="29"/>
        <v>8.0999999999999996E-3</v>
      </c>
      <c r="AR53" s="97">
        <f t="shared" si="30"/>
        <v>6.5267460436108973</v>
      </c>
      <c r="AS53" s="96">
        <f t="shared" si="31"/>
        <v>29.440000000000005</v>
      </c>
      <c r="AT53" s="98">
        <f t="shared" si="32"/>
        <v>81.85338747159112</v>
      </c>
    </row>
    <row r="54" spans="17:46" x14ac:dyDescent="0.3">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1.5946532802775228E-2</v>
      </c>
      <c r="AH54" s="96">
        <f t="shared" si="40"/>
        <v>1.4300605719115371</v>
      </c>
      <c r="AI54" s="98">
        <f t="shared" si="24"/>
        <v>1.4460071047143124</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0.12150000000000002</v>
      </c>
      <c r="AQ54" s="98">
        <f t="shared" si="29"/>
        <v>8.0999999999999996E-3</v>
      </c>
      <c r="AR54" s="97">
        <f t="shared" si="30"/>
        <v>6.5616976642898663</v>
      </c>
      <c r="AS54" s="96">
        <f t="shared" si="31"/>
        <v>30.080000000000002</v>
      </c>
      <c r="AT54" s="98">
        <f t="shared" si="32"/>
        <v>82.092266236111826</v>
      </c>
    </row>
    <row r="55" spans="17:46" x14ac:dyDescent="0.3">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1.6547026629935721E-2</v>
      </c>
      <c r="AH55" s="96">
        <f t="shared" si="40"/>
        <v>1.460487392590506</v>
      </c>
      <c r="AI55" s="98">
        <f t="shared" si="24"/>
        <v>1.4770344192204417</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0.12150000000000002</v>
      </c>
      <c r="AQ55" s="98">
        <f t="shared" si="29"/>
        <v>8.0999999999999996E-3</v>
      </c>
      <c r="AR55" s="97">
        <f t="shared" si="30"/>
        <v>6.5966720405243908</v>
      </c>
      <c r="AS55" s="96">
        <f t="shared" si="31"/>
        <v>30.72</v>
      </c>
      <c r="AT55" s="98">
        <f t="shared" si="32"/>
        <v>82.322453531331334</v>
      </c>
    </row>
    <row r="56" spans="17:46" x14ac:dyDescent="0.3">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1.7160162432404855E-2</v>
      </c>
      <c r="AH56" s="96">
        <f t="shared" si="40"/>
        <v>1.4909142132694746</v>
      </c>
      <c r="AI56" s="98">
        <f t="shared" si="24"/>
        <v>1.5080743757018795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0.12150000000000002</v>
      </c>
      <c r="AQ56" s="98">
        <f t="shared" si="29"/>
        <v>8.0999999999999996E-3</v>
      </c>
      <c r="AR56" s="97">
        <f t="shared" si="30"/>
        <v>6.6316691723144707</v>
      </c>
      <c r="AS56" s="96">
        <f t="shared" si="31"/>
        <v>31.36</v>
      </c>
      <c r="AT56" s="98">
        <f t="shared" si="32"/>
        <v>82.54441219143078</v>
      </c>
    </row>
    <row r="57" spans="17:46" x14ac:dyDescent="0.3">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1.7785940210182635E-2</v>
      </c>
      <c r="AH57" s="96">
        <f t="shared" si="40"/>
        <v>1.5213410339484437</v>
      </c>
      <c r="AI57" s="98">
        <f t="shared" si="24"/>
        <v>1.5391269741586262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0.12150000000000002</v>
      </c>
      <c r="AQ57" s="98">
        <f t="shared" si="29"/>
        <v>8.0999999999999996E-3</v>
      </c>
      <c r="AR57" s="97">
        <f t="shared" si="30"/>
        <v>6.6666890596601061</v>
      </c>
      <c r="AS57" s="96">
        <f t="shared" si="31"/>
        <v>32</v>
      </c>
      <c r="AT57" s="98">
        <f t="shared" si="32"/>
        <v>82.758572761754039</v>
      </c>
    </row>
    <row r="58" spans="17:46" x14ac:dyDescent="0.3">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1.8424359963269056E-2</v>
      </c>
      <c r="AH58" s="96">
        <f t="shared" si="40"/>
        <v>1.5517678546274125</v>
      </c>
      <c r="AI58" s="98">
        <f t="shared" si="24"/>
        <v>1.5701922145906815</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0.12150000000000002</v>
      </c>
      <c r="AQ58" s="98">
        <f t="shared" si="29"/>
        <v>8.0999999999999996E-3</v>
      </c>
      <c r="AR58" s="97">
        <f t="shared" si="30"/>
        <v>6.7017317025612977</v>
      </c>
      <c r="AS58" s="96">
        <f t="shared" si="31"/>
        <v>32.64</v>
      </c>
      <c r="AT58" s="98">
        <f t="shared" si="32"/>
        <v>82.965336266260522</v>
      </c>
    </row>
    <row r="59" spans="17:46" x14ac:dyDescent="0.3">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1.9075421691664117E-2</v>
      </c>
      <c r="AH59" s="96">
        <f t="shared" si="40"/>
        <v>1.5821946753063816</v>
      </c>
      <c r="AI59" s="98">
        <f t="shared" si="24"/>
        <v>1.6012700969980458</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0.12150000000000002</v>
      </c>
      <c r="AQ59" s="98">
        <f t="shared" si="29"/>
        <v>8.0999999999999996E-3</v>
      </c>
      <c r="AR59" s="97">
        <f t="shared" si="30"/>
        <v>6.7367971010180439</v>
      </c>
      <c r="AS59" s="96">
        <f t="shared" si="31"/>
        <v>33.28</v>
      </c>
      <c r="AT59" s="98">
        <f t="shared" si="32"/>
        <v>83.165076695139462</v>
      </c>
    </row>
    <row r="60" spans="17:46" x14ac:dyDescent="0.3">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1.9739125395367822E-2</v>
      </c>
      <c r="AH60" s="96">
        <f t="shared" si="40"/>
        <v>1.6126214959853504</v>
      </c>
      <c r="AI60" s="98">
        <f t="shared" si="24"/>
        <v>1.6323606213807182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0.12150000000000002</v>
      </c>
      <c r="AQ60" s="98">
        <f t="shared" si="29"/>
        <v>8.0999999999999996E-3</v>
      </c>
      <c r="AR60" s="97">
        <f t="shared" si="30"/>
        <v>6.7718852550303463</v>
      </c>
      <c r="AS60" s="96">
        <f t="shared" si="31"/>
        <v>33.92</v>
      </c>
      <c r="AT60" s="98">
        <f t="shared" si="32"/>
        <v>83.358143245051039</v>
      </c>
    </row>
    <row r="61" spans="17:46" x14ac:dyDescent="0.3">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2.0415471074380166E-2</v>
      </c>
      <c r="AH61" s="96">
        <f t="shared" si="40"/>
        <v>1.6430483166643195</v>
      </c>
      <c r="AI61" s="98">
        <f t="shared" si="24"/>
        <v>1.6634637877386997</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0.12150000000000002</v>
      </c>
      <c r="AQ61" s="98">
        <f t="shared" si="29"/>
        <v>8.0999999999999996E-3</v>
      </c>
      <c r="AR61" s="97">
        <f t="shared" si="30"/>
        <v>6.8069961645982033</v>
      </c>
      <c r="AS61" s="96">
        <f t="shared" si="31"/>
        <v>34.56</v>
      </c>
      <c r="AT61" s="98">
        <f t="shared" si="32"/>
        <v>83.544862340225663</v>
      </c>
    </row>
    <row r="62" spans="17:46" x14ac:dyDescent="0.3">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2.1104458728701161E-2</v>
      </c>
      <c r="AH62" s="96">
        <f t="shared" si="40"/>
        <v>1.6734751373432881</v>
      </c>
      <c r="AI62" s="98">
        <f t="shared" si="24"/>
        <v>1.6945795960719894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0.12150000000000002</v>
      </c>
      <c r="AQ62" s="98">
        <f t="shared" si="29"/>
        <v>8.0999999999999996E-3</v>
      </c>
      <c r="AR62" s="97">
        <f t="shared" si="30"/>
        <v>6.8421298297216175</v>
      </c>
      <c r="AS62" s="96">
        <f t="shared" si="31"/>
        <v>35.200000000000003</v>
      </c>
      <c r="AT62" s="98">
        <f t="shared" si="32"/>
        <v>83.725539459029534</v>
      </c>
    </row>
    <row r="63" spans="17:46" x14ac:dyDescent="0.3">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2.180608835833079E-2</v>
      </c>
      <c r="AH63" s="96">
        <f t="shared" si="40"/>
        <v>1.703901958022257</v>
      </c>
      <c r="AI63" s="98">
        <f t="shared" si="24"/>
        <v>1.7257080463805878</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0.12150000000000002</v>
      </c>
      <c r="AQ63" s="98">
        <f t="shared" si="29"/>
        <v>8.0999999999999996E-3</v>
      </c>
      <c r="AR63" s="97">
        <f t="shared" si="30"/>
        <v>6.8772862504005854</v>
      </c>
      <c r="AS63" s="96">
        <f t="shared" si="31"/>
        <v>35.840000000000003</v>
      </c>
      <c r="AT63" s="98">
        <f t="shared" si="32"/>
        <v>83.900460787496556</v>
      </c>
    </row>
    <row r="64" spans="17:46" x14ac:dyDescent="0.3">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2.2520359963269062E-2</v>
      </c>
      <c r="AH64" s="96">
        <f t="shared" si="40"/>
        <v>1.7343287787012258</v>
      </c>
      <c r="AI64" s="98">
        <f t="shared" si="24"/>
        <v>1.7568491386644949</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0.12150000000000002</v>
      </c>
      <c r="AQ64" s="98">
        <f t="shared" si="29"/>
        <v>8.0999999999999996E-3</v>
      </c>
      <c r="AR64" s="97">
        <f t="shared" si="30"/>
        <v>6.9124654266351113</v>
      </c>
      <c r="AS64" s="96">
        <f t="shared" si="31"/>
        <v>36.480000000000004</v>
      </c>
      <c r="AT64" s="98">
        <f t="shared" si="32"/>
        <v>84.069894718652918</v>
      </c>
    </row>
    <row r="65" spans="17:46" x14ac:dyDescent="0.3">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2.3247273543515978E-2</v>
      </c>
      <c r="AH65" s="96">
        <f t="shared" si="40"/>
        <v>1.7647555993801951</v>
      </c>
      <c r="AI65" s="98">
        <f t="shared" si="24"/>
        <v>1.7880028729237112</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0.12150000000000002</v>
      </c>
      <c r="AQ65" s="98">
        <f t="shared" si="29"/>
        <v>8.0999999999999996E-3</v>
      </c>
      <c r="AR65" s="97">
        <f t="shared" si="30"/>
        <v>6.9476673584251909</v>
      </c>
      <c r="AS65" s="96">
        <f t="shared" si="31"/>
        <v>37.120000000000005</v>
      </c>
      <c r="AT65" s="98">
        <f t="shared" si="32"/>
        <v>84.234093214155834</v>
      </c>
    </row>
    <row r="66" spans="17:46" x14ac:dyDescent="0.3">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2.3986829099071533E-2</v>
      </c>
      <c r="AH66" s="96">
        <f t="shared" si="40"/>
        <v>1.795182420059164</v>
      </c>
      <c r="AI66" s="98">
        <f t="shared" si="24"/>
        <v>1.8191692491582354</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0.12150000000000002</v>
      </c>
      <c r="AQ66" s="98">
        <f t="shared" si="29"/>
        <v>8.0999999999999996E-3</v>
      </c>
      <c r="AR66" s="97">
        <f t="shared" si="30"/>
        <v>6.9828920457708268</v>
      </c>
      <c r="AS66" s="96">
        <f t="shared" si="31"/>
        <v>37.760000000000005</v>
      </c>
      <c r="AT66" s="98">
        <f t="shared" si="32"/>
        <v>84.393293042775369</v>
      </c>
    </row>
    <row r="67" spans="17:46" x14ac:dyDescent="0.3">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2.4739026629935733E-2</v>
      </c>
      <c r="AH67" s="96">
        <f t="shared" si="40"/>
        <v>1.8256092407381328</v>
      </c>
      <c r="AI67" s="98">
        <f t="shared" si="24"/>
        <v>1.8503482673680685</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0.12150000000000002</v>
      </c>
      <c r="AQ67" s="98">
        <f t="shared" si="29"/>
        <v>8.0999999999999996E-3</v>
      </c>
      <c r="AR67" s="97">
        <f t="shared" si="30"/>
        <v>7.0181394886720172</v>
      </c>
      <c r="AS67" s="96">
        <f t="shared" si="31"/>
        <v>38.400000000000006</v>
      </c>
      <c r="AT67" s="98">
        <f t="shared" si="32"/>
        <v>84.547716908521863</v>
      </c>
    </row>
    <row r="68" spans="17:46" x14ac:dyDescent="0.3">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2.5503866136108555E-2</v>
      </c>
      <c r="AH68" s="96">
        <f t="shared" si="40"/>
        <v>1.8560360614171014</v>
      </c>
      <c r="AI68" s="98">
        <f t="shared" si="24"/>
        <v>1.8815399275532099</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0.12150000000000002</v>
      </c>
      <c r="AQ68" s="98">
        <f t="shared" si="29"/>
        <v>8.0999999999999996E-3</v>
      </c>
      <c r="AR68" s="97">
        <f t="shared" si="30"/>
        <v>7.053409687128763</v>
      </c>
      <c r="AS68" s="96">
        <f t="shared" si="31"/>
        <v>39.04</v>
      </c>
      <c r="AT68" s="98">
        <f t="shared" si="32"/>
        <v>84.697574479723556</v>
      </c>
    </row>
    <row r="69" spans="17:46" x14ac:dyDescent="0.3">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2.6281347617590049E-2</v>
      </c>
      <c r="AH69" s="96">
        <f t="shared" si="40"/>
        <v>1.8864628820960705</v>
      </c>
      <c r="AI69" s="98">
        <f t="shared" si="24"/>
        <v>1.9127442297136605</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0.12150000000000002</v>
      </c>
      <c r="AQ69" s="98">
        <f t="shared" si="29"/>
        <v>8.0999999999999996E-3</v>
      </c>
      <c r="AR69" s="97">
        <f t="shared" si="30"/>
        <v>7.088702641141067</v>
      </c>
      <c r="AS69" s="96">
        <f t="shared" si="31"/>
        <v>39.680000000000007</v>
      </c>
      <c r="AT69" s="98">
        <f t="shared" si="32"/>
        <v>84.843063329053422</v>
      </c>
    </row>
    <row r="70" spans="17:46" x14ac:dyDescent="0.3">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2.7071471074380168E-2</v>
      </c>
      <c r="AH70" s="96">
        <f t="shared" si="40"/>
        <v>1.9168897027750393</v>
      </c>
      <c r="AI70" s="98">
        <f t="shared" si="24"/>
        <v>1.9439611738494196</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0.12150000000000002</v>
      </c>
      <c r="AQ70" s="98">
        <f t="shared" si="29"/>
        <v>8.0999999999999996E-3</v>
      </c>
      <c r="AR70" s="97">
        <f t="shared" si="30"/>
        <v>7.1240183507089245</v>
      </c>
      <c r="AS70" s="96">
        <f t="shared" si="31"/>
        <v>40.320000000000007</v>
      </c>
      <c r="AT70" s="98">
        <f t="shared" si="32"/>
        <v>84.98436979336833</v>
      </c>
    </row>
    <row r="71" spans="17:46" x14ac:dyDescent="0.3">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2.7874236506478928E-2</v>
      </c>
      <c r="AH71" s="96">
        <f t="shared" ref="AH71:AH102" si="51">(((R71+T71)*(U71+S71))/2)*Fsw*(tr_sw+tf_sw)</f>
        <v>1.947316523454008</v>
      </c>
      <c r="AI71" s="98">
        <f t="shared" si="24"/>
        <v>1.975190759960487</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0.12150000000000002</v>
      </c>
      <c r="AQ71" s="98">
        <f t="shared" si="29"/>
        <v>8.0999999999999996E-3</v>
      </c>
      <c r="AR71" s="97">
        <f t="shared" si="30"/>
        <v>7.1593568158323375</v>
      </c>
      <c r="AS71" s="96">
        <f t="shared" si="31"/>
        <v>40.96</v>
      </c>
      <c r="AT71" s="98">
        <f t="shared" si="32"/>
        <v>85.121669761228503</v>
      </c>
    </row>
    <row r="72" spans="17:46" x14ac:dyDescent="0.3">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2.8689643913886349E-2</v>
      </c>
      <c r="AH72" s="96">
        <f t="shared" si="51"/>
        <v>1.9777433441329773</v>
      </c>
      <c r="AI72" s="98">
        <f t="shared" ref="AI72:AI135" si="62">AG72+AH72</f>
        <v>2.0064329880468637</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0.12150000000000002</v>
      </c>
      <c r="AQ72" s="98">
        <f t="shared" ref="AQ72:AQ135" si="67">IQ*T72</f>
        <v>8.0999999999999996E-3</v>
      </c>
      <c r="AR72" s="97">
        <f t="shared" ref="AR72:AR135" si="68">AO72+AN72+AI72+AP72+AQ72</f>
        <v>7.1947180365113059</v>
      </c>
      <c r="AS72" s="96">
        <f t="shared" ref="AS72:AS135" si="69">R72*S72</f>
        <v>41.6</v>
      </c>
      <c r="AT72" s="98">
        <f t="shared" ref="AT72:AT135" si="70">(AS72/(AS72+AR72))*100</f>
        <v>85.255129395096091</v>
      </c>
    </row>
    <row r="73" spans="17:46" x14ac:dyDescent="0.3">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2.951769329660239E-2</v>
      </c>
      <c r="AH73" s="96">
        <f t="shared" si="51"/>
        <v>2.0081701648119457</v>
      </c>
      <c r="AI73" s="98">
        <f t="shared" si="62"/>
        <v>2.0376878581085482</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0.12150000000000002</v>
      </c>
      <c r="AQ73" s="98">
        <f t="shared" si="67"/>
        <v>8.0999999999999996E-3</v>
      </c>
      <c r="AR73" s="97">
        <f t="shared" si="68"/>
        <v>7.2301020127458298</v>
      </c>
      <c r="AS73" s="96">
        <f t="shared" si="69"/>
        <v>42.24</v>
      </c>
      <c r="AT73" s="98">
        <f t="shared" si="70"/>
        <v>85.384905794447292</v>
      </c>
    </row>
    <row r="74" spans="17:46" x14ac:dyDescent="0.3">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3.0358384654627094E-2</v>
      </c>
      <c r="AH74" s="96">
        <f t="shared" si="51"/>
        <v>2.0385969854909147</v>
      </c>
      <c r="AI74" s="98">
        <f t="shared" si="62"/>
        <v>2.0689553701455417</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0.12150000000000002</v>
      </c>
      <c r="AQ74" s="98">
        <f t="shared" si="67"/>
        <v>8.0999999999999996E-3</v>
      </c>
      <c r="AR74" s="97">
        <f t="shared" si="68"/>
        <v>7.2655087445359108</v>
      </c>
      <c r="AS74" s="96">
        <f t="shared" si="69"/>
        <v>42.88</v>
      </c>
      <c r="AT74" s="98">
        <f t="shared" si="70"/>
        <v>85.511147605362368</v>
      </c>
    </row>
    <row r="75" spans="17:46" x14ac:dyDescent="0.3">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3.1211717987960422E-2</v>
      </c>
      <c r="AH75" s="96">
        <f t="shared" si="51"/>
        <v>2.0690238061698829</v>
      </c>
      <c r="AI75" s="98">
        <f t="shared" si="62"/>
        <v>2.1002355241578434</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0.12150000000000002</v>
      </c>
      <c r="AQ75" s="98">
        <f t="shared" si="67"/>
        <v>8.0999999999999996E-3</v>
      </c>
      <c r="AR75" s="97">
        <f t="shared" si="68"/>
        <v>7.3009382318815454</v>
      </c>
      <c r="AS75" s="96">
        <f t="shared" si="69"/>
        <v>43.52</v>
      </c>
      <c r="AT75" s="98">
        <f t="shared" si="70"/>
        <v>85.633995581566339</v>
      </c>
    </row>
    <row r="76" spans="17:46" x14ac:dyDescent="0.3">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3.20776932966024E-2</v>
      </c>
      <c r="AH76" s="96">
        <f t="shared" si="51"/>
        <v>2.0994506268488524</v>
      </c>
      <c r="AI76" s="98">
        <f t="shared" si="62"/>
        <v>2.1315283201454549</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0.12150000000000002</v>
      </c>
      <c r="AQ76" s="98">
        <f t="shared" si="67"/>
        <v>8.0999999999999996E-3</v>
      </c>
      <c r="AR76" s="97">
        <f t="shared" si="68"/>
        <v>7.3363904747827373</v>
      </c>
      <c r="AS76" s="96">
        <f t="shared" si="69"/>
        <v>44.160000000000004</v>
      </c>
      <c r="AT76" s="98">
        <f t="shared" si="70"/>
        <v>85.753583101372328</v>
      </c>
    </row>
    <row r="77" spans="17:46" x14ac:dyDescent="0.3">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3.2956310580553011E-2</v>
      </c>
      <c r="AH77" s="96">
        <f t="shared" si="51"/>
        <v>2.129877447527821</v>
      </c>
      <c r="AI77" s="98">
        <f t="shared" si="62"/>
        <v>2.1628337581083739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0.12150000000000002</v>
      </c>
      <c r="AQ77" s="98">
        <f t="shared" si="67"/>
        <v>8.0999999999999996E-3</v>
      </c>
      <c r="AR77" s="97">
        <f t="shared" si="68"/>
        <v>7.3718654732394828</v>
      </c>
      <c r="AS77" s="96">
        <f t="shared" si="69"/>
        <v>44.8</v>
      </c>
      <c r="AT77" s="98">
        <f t="shared" si="70"/>
        <v>85.870036644519203</v>
      </c>
    </row>
    <row r="78" spans="17:46" x14ac:dyDescent="0.3">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3.3847569839812269E-2</v>
      </c>
      <c r="AH78" s="96">
        <f t="shared" si="51"/>
        <v>2.1603042682067901</v>
      </c>
      <c r="AI78" s="98">
        <f t="shared" si="62"/>
        <v>2.1941518380466025</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0.12150000000000002</v>
      </c>
      <c r="AQ78" s="98">
        <f t="shared" si="67"/>
        <v>8.0999999999999996E-3</v>
      </c>
      <c r="AR78" s="97">
        <f t="shared" si="68"/>
        <v>7.4073632272517864</v>
      </c>
      <c r="AS78" s="96">
        <f t="shared" si="69"/>
        <v>45.440000000000005</v>
      </c>
      <c r="AT78" s="98">
        <f t="shared" si="70"/>
        <v>85.983476232486794</v>
      </c>
    </row>
    <row r="79" spans="17:46" x14ac:dyDescent="0.3">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3.4751471074380189E-2</v>
      </c>
      <c r="AH79" s="96">
        <f t="shared" si="51"/>
        <v>2.1907310888857587</v>
      </c>
      <c r="AI79" s="98">
        <f t="shared" si="62"/>
        <v>2.2254825599601391</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0.12150000000000002</v>
      </c>
      <c r="AQ79" s="98">
        <f t="shared" si="67"/>
        <v>8.0999999999999996E-3</v>
      </c>
      <c r="AR79" s="97">
        <f t="shared" si="68"/>
        <v>7.4428837368196437</v>
      </c>
      <c r="AS79" s="96">
        <f t="shared" si="69"/>
        <v>46.080000000000005</v>
      </c>
      <c r="AT79" s="98">
        <f t="shared" si="70"/>
        <v>86.094015835511655</v>
      </c>
    </row>
    <row r="80" spans="17:46" x14ac:dyDescent="0.3">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3.5668014284256706E-2</v>
      </c>
      <c r="AH80" s="96">
        <f t="shared" si="51"/>
        <v>2.2211579095647274</v>
      </c>
      <c r="AI80" s="98">
        <f t="shared" si="62"/>
        <v>2.2568259238489841</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0.12150000000000002</v>
      </c>
      <c r="AQ80" s="98">
        <f t="shared" si="67"/>
        <v>8.0999999999999996E-3</v>
      </c>
      <c r="AR80" s="97">
        <f t="shared" si="68"/>
        <v>7.4784270019430563</v>
      </c>
      <c r="AS80" s="96">
        <f t="shared" si="69"/>
        <v>46.72</v>
      </c>
      <c r="AT80" s="98">
        <f t="shared" si="70"/>
        <v>86.201763749204488</v>
      </c>
    </row>
    <row r="81" spans="17:46" x14ac:dyDescent="0.3">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3.6597199469441899E-2</v>
      </c>
      <c r="AH81" s="96">
        <f t="shared" si="51"/>
        <v>2.2515847302436964</v>
      </c>
      <c r="AI81" s="98">
        <f t="shared" si="62"/>
        <v>2.2881819297131383</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0.12150000000000002</v>
      </c>
      <c r="AQ81" s="98">
        <f t="shared" si="67"/>
        <v>8.0999999999999996E-3</v>
      </c>
      <c r="AR81" s="97">
        <f t="shared" si="68"/>
        <v>7.5139930226220253</v>
      </c>
      <c r="AS81" s="96">
        <f t="shared" si="69"/>
        <v>47.36</v>
      </c>
      <c r="AT81" s="98">
        <f t="shared" si="70"/>
        <v>86.306822943385313</v>
      </c>
    </row>
    <row r="82" spans="17:46" x14ac:dyDescent="0.3">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3.7539026629935718E-2</v>
      </c>
      <c r="AH82" s="96">
        <f t="shared" si="51"/>
        <v>2.2820115509226651</v>
      </c>
      <c r="AI82" s="98">
        <f t="shared" si="62"/>
        <v>2.3195505775526009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0.12150000000000002</v>
      </c>
      <c r="AQ82" s="98">
        <f t="shared" si="67"/>
        <v>8.0999999999999996E-3</v>
      </c>
      <c r="AR82" s="97">
        <f t="shared" si="68"/>
        <v>7.5495817988565497</v>
      </c>
      <c r="AS82" s="96">
        <f t="shared" si="69"/>
        <v>48</v>
      </c>
      <c r="AT82" s="98">
        <f t="shared" si="70"/>
        <v>86.409291385498861</v>
      </c>
    </row>
    <row r="83" spans="17:46" x14ac:dyDescent="0.3">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3.8493495765738198E-2</v>
      </c>
      <c r="AH83" s="96">
        <f t="shared" si="51"/>
        <v>2.3124383716016346</v>
      </c>
      <c r="AI83" s="98">
        <f t="shared" si="62"/>
        <v>2.3509318673673727</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0.12150000000000002</v>
      </c>
      <c r="AQ83" s="98">
        <f t="shared" si="67"/>
        <v>8.0999999999999996E-3</v>
      </c>
      <c r="AR83" s="97">
        <f t="shared" si="68"/>
        <v>7.5851933306466304</v>
      </c>
      <c r="AS83" s="96">
        <f t="shared" si="69"/>
        <v>48.64</v>
      </c>
      <c r="AT83" s="98">
        <f t="shared" si="70"/>
        <v>86.509262340744726</v>
      </c>
    </row>
    <row r="84" spans="17:46" x14ac:dyDescent="0.3">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3.9460606876849318E-2</v>
      </c>
      <c r="AH84" s="96">
        <f t="shared" si="51"/>
        <v>2.3428651922806032</v>
      </c>
      <c r="AI84" s="98">
        <f t="shared" si="62"/>
        <v>2.3823257991574525</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0.12150000000000002</v>
      </c>
      <c r="AQ84" s="98">
        <f t="shared" si="67"/>
        <v>8.0999999999999996E-3</v>
      </c>
      <c r="AR84" s="97">
        <f t="shared" si="68"/>
        <v>7.6208276179922656</v>
      </c>
      <c r="AS84" s="96">
        <f t="shared" si="69"/>
        <v>49.280000000000008</v>
      </c>
      <c r="AT84" s="98">
        <f t="shared" si="70"/>
        <v>86.606824650855287</v>
      </c>
    </row>
    <row r="85" spans="17:46" x14ac:dyDescent="0.3">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4.0440359963269057E-2</v>
      </c>
      <c r="AH85" s="96">
        <f t="shared" si="51"/>
        <v>2.3732920129595723</v>
      </c>
      <c r="AI85" s="98">
        <f t="shared" si="62"/>
        <v>2.4137323729228415</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0.12150000000000002</v>
      </c>
      <c r="AQ85" s="98">
        <f t="shared" si="67"/>
        <v>8.0999999999999996E-3</v>
      </c>
      <c r="AR85" s="97">
        <f t="shared" si="68"/>
        <v>7.6564846608934571</v>
      </c>
      <c r="AS85" s="96">
        <f t="shared" si="69"/>
        <v>49.92</v>
      </c>
      <c r="AT85" s="98">
        <f t="shared" si="70"/>
        <v>86.702062993272989</v>
      </c>
    </row>
    <row r="86" spans="17:46" x14ac:dyDescent="0.3">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4.1432755024997457E-2</v>
      </c>
      <c r="AH86" s="96">
        <f t="shared" si="51"/>
        <v>2.4037188336385413</v>
      </c>
      <c r="AI86" s="98">
        <f t="shared" si="62"/>
        <v>2.4451515886635389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0.12150000000000002</v>
      </c>
      <c r="AQ86" s="98">
        <f t="shared" si="67"/>
        <v>8.0999999999999996E-3</v>
      </c>
      <c r="AR86" s="97">
        <f t="shared" si="68"/>
        <v>7.6921644593502041</v>
      </c>
      <c r="AS86" s="96">
        <f t="shared" si="69"/>
        <v>50.56</v>
      </c>
      <c r="AT86" s="98">
        <f t="shared" si="70"/>
        <v>86.795058122315808</v>
      </c>
    </row>
    <row r="87" spans="17:46" x14ac:dyDescent="0.3">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4.2437792062034491E-2</v>
      </c>
      <c r="AH87" s="96">
        <f t="shared" si="51"/>
        <v>2.4341456543175095</v>
      </c>
      <c r="AI87" s="98">
        <f t="shared" si="62"/>
        <v>2.4765834463795442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0.12150000000000002</v>
      </c>
      <c r="AQ87" s="98">
        <f t="shared" si="67"/>
        <v>8.0999999999999996E-3</v>
      </c>
      <c r="AR87" s="97">
        <f t="shared" si="68"/>
        <v>7.7278670133625056</v>
      </c>
      <c r="AS87" s="96">
        <f t="shared" si="69"/>
        <v>51.2</v>
      </c>
      <c r="AT87" s="98">
        <f t="shared" si="70"/>
        <v>86.885887093774954</v>
      </c>
    </row>
    <row r="88" spans="17:46" x14ac:dyDescent="0.3">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4.3455471074380185E-2</v>
      </c>
      <c r="AH88" s="96">
        <f t="shared" si="51"/>
        <v>2.464572474996479</v>
      </c>
      <c r="AI88" s="98">
        <f t="shared" si="62"/>
        <v>2.5080279460708592</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0.12150000000000002</v>
      </c>
      <c r="AQ88" s="98">
        <f t="shared" si="67"/>
        <v>8.0999999999999996E-3</v>
      </c>
      <c r="AR88" s="97">
        <f t="shared" si="68"/>
        <v>7.7635923229303643</v>
      </c>
      <c r="AS88" s="96">
        <f t="shared" si="69"/>
        <v>51.84</v>
      </c>
      <c r="AT88" s="98">
        <f t="shared" si="70"/>
        <v>86.974623474257271</v>
      </c>
    </row>
    <row r="89" spans="17:46" x14ac:dyDescent="0.3">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4.4485792062034485E-2</v>
      </c>
      <c r="AH89" s="96">
        <f t="shared" si="51"/>
        <v>2.4949992956754476</v>
      </c>
      <c r="AI89" s="98">
        <f t="shared" si="62"/>
        <v>2.5394850877374822</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0.12150000000000002</v>
      </c>
      <c r="AQ89" s="98">
        <f t="shared" si="67"/>
        <v>8.0999999999999996E-3</v>
      </c>
      <c r="AR89" s="97">
        <f t="shared" si="68"/>
        <v>7.7993403880537766</v>
      </c>
      <c r="AS89" s="96">
        <f t="shared" si="69"/>
        <v>52.480000000000004</v>
      </c>
      <c r="AT89" s="98">
        <f t="shared" si="70"/>
        <v>87.061337536468031</v>
      </c>
    </row>
    <row r="90" spans="17:46" x14ac:dyDescent="0.3">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4.552875502499746E-2</v>
      </c>
      <c r="AH90" s="96">
        <f t="shared" si="51"/>
        <v>2.5254261163544167</v>
      </c>
      <c r="AI90" s="98">
        <f t="shared" si="62"/>
        <v>2.5709548713794144</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0.12150000000000002</v>
      </c>
      <c r="AQ90" s="98">
        <f t="shared" si="67"/>
        <v>8.0999999999999996E-3</v>
      </c>
      <c r="AR90" s="97">
        <f t="shared" si="68"/>
        <v>7.8351112087327461</v>
      </c>
      <c r="AS90" s="96">
        <f t="shared" si="69"/>
        <v>53.120000000000005</v>
      </c>
      <c r="AT90" s="98">
        <f t="shared" si="70"/>
        <v>87.14609644152327</v>
      </c>
    </row>
    <row r="91" spans="17:46" x14ac:dyDescent="0.3">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4.6584359963269061E-2</v>
      </c>
      <c r="AH91" s="96">
        <f t="shared" si="51"/>
        <v>2.5558529370333853</v>
      </c>
      <c r="AI91" s="98">
        <f t="shared" si="62"/>
        <v>2.6024372969966545</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0.12150000000000002</v>
      </c>
      <c r="AQ91" s="98">
        <f t="shared" si="67"/>
        <v>8.0999999999999996E-3</v>
      </c>
      <c r="AR91" s="97">
        <f t="shared" si="68"/>
        <v>7.8709047849672693</v>
      </c>
      <c r="AS91" s="96">
        <f t="shared" si="69"/>
        <v>53.760000000000005</v>
      </c>
      <c r="AT91" s="98">
        <f t="shared" si="70"/>
        <v>87.228964409285936</v>
      </c>
    </row>
    <row r="92" spans="17:46" x14ac:dyDescent="0.3">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4.7652606876849302E-2</v>
      </c>
      <c r="AH92" s="96">
        <f t="shared" si="51"/>
        <v>2.586279757712354</v>
      </c>
      <c r="AI92" s="98">
        <f t="shared" si="62"/>
        <v>2.6339323645892034</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0.12150000000000002</v>
      </c>
      <c r="AQ92" s="98">
        <f t="shared" si="67"/>
        <v>8.0999999999999996E-3</v>
      </c>
      <c r="AR92" s="97">
        <f t="shared" si="68"/>
        <v>7.9067211167573497</v>
      </c>
      <c r="AS92" s="96">
        <f t="shared" si="69"/>
        <v>54.4</v>
      </c>
      <c r="AT92" s="98">
        <f t="shared" si="70"/>
        <v>87.310002877633636</v>
      </c>
    </row>
    <row r="93" spans="17:46" x14ac:dyDescent="0.3">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4.8733495765738211E-2</v>
      </c>
      <c r="AH93" s="96">
        <f t="shared" si="51"/>
        <v>2.616706578391323</v>
      </c>
      <c r="AI93" s="98">
        <f t="shared" si="62"/>
        <v>2.6654400741570612</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0.12150000000000002</v>
      </c>
      <c r="AQ93" s="98">
        <f t="shared" si="67"/>
        <v>8.0999999999999996E-3</v>
      </c>
      <c r="AR93" s="97">
        <f t="shared" si="68"/>
        <v>7.9425602041029855</v>
      </c>
      <c r="AS93" s="96">
        <f t="shared" si="69"/>
        <v>55.040000000000006</v>
      </c>
      <c r="AT93" s="98">
        <f t="shared" si="70"/>
        <v>87.389270651488104</v>
      </c>
    </row>
    <row r="94" spans="17:46" x14ac:dyDescent="0.3">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4.9827026629935739E-2</v>
      </c>
      <c r="AH94" s="96">
        <f t="shared" si="51"/>
        <v>2.6471333990702921</v>
      </c>
      <c r="AI94" s="98">
        <f t="shared" si="62"/>
        <v>2.6969604257002278</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0.12150000000000002</v>
      </c>
      <c r="AQ94" s="98">
        <f t="shared" si="67"/>
        <v>8.0999999999999996E-3</v>
      </c>
      <c r="AR94" s="97">
        <f t="shared" si="68"/>
        <v>7.9784220470041767</v>
      </c>
      <c r="AS94" s="96">
        <f t="shared" si="69"/>
        <v>55.680000000000007</v>
      </c>
      <c r="AT94" s="98">
        <f t="shared" si="70"/>
        <v>87.466824042366213</v>
      </c>
    </row>
    <row r="95" spans="17:46" x14ac:dyDescent="0.3">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5.0933199469441894E-2</v>
      </c>
      <c r="AH95" s="96">
        <f t="shared" si="51"/>
        <v>2.6775602197492612</v>
      </c>
      <c r="AI95" s="98">
        <f t="shared" si="62"/>
        <v>2.7284934192187031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0.12150000000000002</v>
      </c>
      <c r="AQ95" s="98">
        <f t="shared" si="67"/>
        <v>8.0999999999999996E-3</v>
      </c>
      <c r="AR95" s="97">
        <f t="shared" si="68"/>
        <v>8.0143066454609233</v>
      </c>
      <c r="AS95" s="96">
        <f t="shared" si="69"/>
        <v>56.32</v>
      </c>
      <c r="AT95" s="98">
        <f t="shared" si="70"/>
        <v>87.542716999148112</v>
      </c>
    </row>
    <row r="96" spans="17:46" x14ac:dyDescent="0.3">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5.2052014284256737E-2</v>
      </c>
      <c r="AH96" s="96">
        <f t="shared" si="51"/>
        <v>2.7079870404282298</v>
      </c>
      <c r="AI96" s="98">
        <f t="shared" si="62"/>
        <v>2.7600390547124865</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0.12150000000000002</v>
      </c>
      <c r="AQ96" s="98">
        <f t="shared" si="67"/>
        <v>8.0999999999999996E-3</v>
      </c>
      <c r="AR96" s="97">
        <f t="shared" si="68"/>
        <v>8.0502139994732254</v>
      </c>
      <c r="AS96" s="96">
        <f t="shared" si="69"/>
        <v>56.960000000000008</v>
      </c>
      <c r="AT96" s="98">
        <f t="shared" si="70"/>
        <v>87.617001230701291</v>
      </c>
    </row>
    <row r="97" spans="17:46" x14ac:dyDescent="0.3">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5.3183471074380186E-2</v>
      </c>
      <c r="AH97" s="96">
        <f t="shared" si="51"/>
        <v>2.7384138611071993</v>
      </c>
      <c r="AI97" s="98">
        <f t="shared" si="62"/>
        <v>2.7915973321815795</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0.12150000000000002</v>
      </c>
      <c r="AQ97" s="98">
        <f t="shared" si="67"/>
        <v>8.0999999999999996E-3</v>
      </c>
      <c r="AR97" s="97">
        <f t="shared" si="68"/>
        <v>8.0861441090410846</v>
      </c>
      <c r="AS97" s="96">
        <f t="shared" si="69"/>
        <v>57.600000000000009</v>
      </c>
      <c r="AT97" s="98">
        <f t="shared" si="70"/>
        <v>87.68972632094551</v>
      </c>
    </row>
    <row r="98" spans="17:46" x14ac:dyDescent="0.3">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5.4327569839812268E-2</v>
      </c>
      <c r="AH98" s="96">
        <f t="shared" si="51"/>
        <v>2.7688406817861675</v>
      </c>
      <c r="AI98" s="98">
        <f t="shared" si="62"/>
        <v>2.82316825162598</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0.12150000000000002</v>
      </c>
      <c r="AQ98" s="98">
        <f t="shared" si="67"/>
        <v>8.0999999999999996E-3</v>
      </c>
      <c r="AR98" s="97">
        <f t="shared" si="68"/>
        <v>8.1220969741644975</v>
      </c>
      <c r="AS98" s="96">
        <f t="shared" si="69"/>
        <v>58.24</v>
      </c>
      <c r="AT98" s="98">
        <f t="shared" si="70"/>
        <v>87.760939836897379</v>
      </c>
    </row>
    <row r="99" spans="17:46" x14ac:dyDescent="0.3">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5.5484310580553031E-2</v>
      </c>
      <c r="AH99" s="96">
        <f t="shared" si="51"/>
        <v>2.7992675024651366</v>
      </c>
      <c r="AI99" s="98">
        <f t="shared" si="62"/>
        <v>2.8547518130456897</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0.12150000000000002</v>
      </c>
      <c r="AQ99" s="98">
        <f t="shared" si="67"/>
        <v>8.0999999999999996E-3</v>
      </c>
      <c r="AR99" s="97">
        <f t="shared" si="68"/>
        <v>8.1580725948434658</v>
      </c>
      <c r="AS99" s="96">
        <f t="shared" si="69"/>
        <v>58.88000000000001</v>
      </c>
      <c r="AT99" s="98">
        <f t="shared" si="70"/>
        <v>87.830687430188775</v>
      </c>
    </row>
    <row r="100" spans="17:46" x14ac:dyDescent="0.3">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5.66536932966024E-2</v>
      </c>
      <c r="AH100" s="96">
        <f t="shared" si="51"/>
        <v>2.8296943231441047</v>
      </c>
      <c r="AI100" s="98">
        <f t="shared" si="62"/>
        <v>2.8863480164407069</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0.12150000000000002</v>
      </c>
      <c r="AQ100" s="98">
        <f t="shared" si="67"/>
        <v>8.0999999999999996E-3</v>
      </c>
      <c r="AR100" s="97">
        <f t="shared" si="68"/>
        <v>8.1940709710779895</v>
      </c>
      <c r="AS100" s="96">
        <f t="shared" si="69"/>
        <v>59.519999999999996</v>
      </c>
      <c r="AT100" s="98">
        <f t="shared" si="70"/>
        <v>87.899012932514665</v>
      </c>
    </row>
    <row r="101" spans="17:46" x14ac:dyDescent="0.3">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5.7835717987960431E-2</v>
      </c>
      <c r="AH101" s="96">
        <f t="shared" si="51"/>
        <v>2.8601211438230743</v>
      </c>
      <c r="AI101" s="98">
        <f t="shared" si="62"/>
        <v>2.9179568618110348</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0.12150000000000002</v>
      </c>
      <c r="AQ101" s="98">
        <f t="shared" si="67"/>
        <v>8.0999999999999996E-3</v>
      </c>
      <c r="AR101" s="97">
        <f t="shared" si="68"/>
        <v>8.2300921028680705</v>
      </c>
      <c r="AS101" s="96">
        <f t="shared" si="69"/>
        <v>60.160000000000004</v>
      </c>
      <c r="AT101" s="98">
        <f t="shared" si="70"/>
        <v>87.965958445429663</v>
      </c>
    </row>
    <row r="102" spans="17:46" x14ac:dyDescent="0.3">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5.9030384654627108E-2</v>
      </c>
      <c r="AH102" s="96">
        <f t="shared" si="51"/>
        <v>2.8905479645020438</v>
      </c>
      <c r="AI102" s="98">
        <f t="shared" si="62"/>
        <v>2.9495783491566709</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0.12150000000000002</v>
      </c>
      <c r="AQ102" s="98">
        <f t="shared" si="67"/>
        <v>8.0999999999999996E-3</v>
      </c>
      <c r="AR102" s="97">
        <f t="shared" si="68"/>
        <v>8.2661359902137068</v>
      </c>
      <c r="AS102" s="96">
        <f t="shared" si="69"/>
        <v>60.800000000000011</v>
      </c>
      <c r="AT102" s="98">
        <f t="shared" si="70"/>
        <v>88.03156442487969</v>
      </c>
    </row>
    <row r="103" spans="17:46" x14ac:dyDescent="0.3">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6.0237693296602383E-2</v>
      </c>
      <c r="AH103" s="96">
        <f t="shared" ref="AH103:AH134" si="77">(((R103+T103)*(U103+S103))/2)*Fsw*(tr_sw+tf_sw)</f>
        <v>2.9209747851810119</v>
      </c>
      <c r="AI103" s="98">
        <f t="shared" si="62"/>
        <v>2.9812124784776142</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0.12150000000000002</v>
      </c>
      <c r="AQ103" s="98">
        <f t="shared" si="67"/>
        <v>8.0999999999999996E-3</v>
      </c>
      <c r="AR103" s="97">
        <f t="shared" si="68"/>
        <v>8.302202633114895</v>
      </c>
      <c r="AS103" s="96">
        <f t="shared" si="69"/>
        <v>61.44</v>
      </c>
      <c r="AT103" s="98">
        <f t="shared" si="70"/>
        <v>88.095869760825636</v>
      </c>
    </row>
    <row r="104" spans="17:46" x14ac:dyDescent="0.3">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6.1457643913886362E-2</v>
      </c>
      <c r="AH104" s="96">
        <f t="shared" si="77"/>
        <v>2.951401605859981</v>
      </c>
      <c r="AI104" s="98">
        <f t="shared" si="62"/>
        <v>3.0128592497738675</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0.12150000000000002</v>
      </c>
      <c r="AQ104" s="98">
        <f t="shared" si="67"/>
        <v>8.0999999999999996E-3</v>
      </c>
      <c r="AR104" s="97">
        <f t="shared" si="68"/>
        <v>8.338292031571644</v>
      </c>
      <c r="AS104" s="96">
        <f t="shared" si="69"/>
        <v>62.080000000000005</v>
      </c>
      <c r="AT104" s="98">
        <f t="shared" si="70"/>
        <v>88.158911852288014</v>
      </c>
    </row>
    <row r="105" spans="17:46" x14ac:dyDescent="0.3">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6.2690236506478939E-2</v>
      </c>
      <c r="AH105" s="96">
        <f t="shared" si="77"/>
        <v>2.9818284265389492</v>
      </c>
      <c r="AI105" s="98">
        <f t="shared" si="62"/>
        <v>3.044518663045428</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0.12150000000000002</v>
      </c>
      <c r="AQ105" s="98">
        <f t="shared" si="67"/>
        <v>8.0999999999999996E-3</v>
      </c>
      <c r="AR105" s="97">
        <f t="shared" si="68"/>
        <v>8.3744041855839448</v>
      </c>
      <c r="AS105" s="96">
        <f t="shared" si="69"/>
        <v>62.72</v>
      </c>
      <c r="AT105" s="98">
        <f t="shared" si="70"/>
        <v>88.220726678117316</v>
      </c>
    </row>
    <row r="106" spans="17:46" x14ac:dyDescent="0.3">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6.3935471074380162E-2</v>
      </c>
      <c r="AH106" s="96">
        <f t="shared" si="77"/>
        <v>3.0122552472179183</v>
      </c>
      <c r="AI106" s="98">
        <f t="shared" si="62"/>
        <v>3.0761907182922985</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0.12150000000000002</v>
      </c>
      <c r="AQ106" s="98">
        <f t="shared" si="67"/>
        <v>8.0999999999999996E-3</v>
      </c>
      <c r="AR106" s="97">
        <f t="shared" si="68"/>
        <v>8.4105390951518029</v>
      </c>
      <c r="AS106" s="96">
        <f t="shared" si="69"/>
        <v>63.36</v>
      </c>
      <c r="AT106" s="98">
        <f t="shared" si="70"/>
        <v>88.28134886377083</v>
      </c>
    </row>
    <row r="107" spans="17:46" x14ac:dyDescent="0.3">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6.5193347617590047E-2</v>
      </c>
      <c r="AH107" s="96">
        <f t="shared" si="77"/>
        <v>3.0426820678968873</v>
      </c>
      <c r="AI107" s="98">
        <f t="shared" si="62"/>
        <v>3.1078754155144774</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0.12150000000000002</v>
      </c>
      <c r="AQ107" s="98">
        <f t="shared" si="67"/>
        <v>8.0999999999999996E-3</v>
      </c>
      <c r="AR107" s="97">
        <f t="shared" si="68"/>
        <v>8.4466967602752163</v>
      </c>
      <c r="AS107" s="96">
        <f t="shared" si="69"/>
        <v>64</v>
      </c>
      <c r="AT107" s="98">
        <f t="shared" si="70"/>
        <v>88.340811744357126</v>
      </c>
    </row>
    <row r="108" spans="17:46" x14ac:dyDescent="0.3">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6.6463866136108565E-2</v>
      </c>
      <c r="AH108" s="96">
        <f t="shared" si="77"/>
        <v>3.073108888575856</v>
      </c>
      <c r="AI108" s="98">
        <f t="shared" si="62"/>
        <v>3.1395727547119647</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0.12150000000000002</v>
      </c>
      <c r="AQ108" s="98">
        <f t="shared" si="67"/>
        <v>8.0999999999999996E-3</v>
      </c>
      <c r="AR108" s="97">
        <f t="shared" si="68"/>
        <v>8.4828771809541852</v>
      </c>
      <c r="AS108" s="96">
        <f t="shared" si="69"/>
        <v>64.64</v>
      </c>
      <c r="AT108" s="98">
        <f t="shared" si="70"/>
        <v>88.399147424188513</v>
      </c>
    </row>
    <row r="109" spans="17:46" x14ac:dyDescent="0.3">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6.7747026629935744E-2</v>
      </c>
      <c r="AH109" s="96">
        <f t="shared" si="77"/>
        <v>3.103535709254825</v>
      </c>
      <c r="AI109" s="98">
        <f t="shared" si="62"/>
        <v>3.1712827358847608</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0.12150000000000002</v>
      </c>
      <c r="AQ109" s="98">
        <f t="shared" si="67"/>
        <v>8.0999999999999996E-3</v>
      </c>
      <c r="AR109" s="97">
        <f t="shared" si="68"/>
        <v>8.5190803571887095</v>
      </c>
      <c r="AS109" s="96">
        <f t="shared" si="69"/>
        <v>65.28</v>
      </c>
      <c r="AT109" s="98">
        <f t="shared" si="70"/>
        <v>88.456386833065906</v>
      </c>
    </row>
    <row r="110" spans="17:46" x14ac:dyDescent="0.3">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6.9042829099071557E-2</v>
      </c>
      <c r="AH110" s="96">
        <f t="shared" si="77"/>
        <v>3.1339625299337941</v>
      </c>
      <c r="AI110" s="98">
        <f t="shared" si="62"/>
        <v>3.2030053590328658</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0.12150000000000002</v>
      </c>
      <c r="AQ110" s="98">
        <f t="shared" si="67"/>
        <v>8.0999999999999996E-3</v>
      </c>
      <c r="AR110" s="97">
        <f t="shared" si="68"/>
        <v>8.555306288978791</v>
      </c>
      <c r="AS110" s="96">
        <f t="shared" si="69"/>
        <v>65.920000000000016</v>
      </c>
      <c r="AT110" s="98">
        <f t="shared" si="70"/>
        <v>88.512559779502595</v>
      </c>
    </row>
    <row r="111" spans="17:46" x14ac:dyDescent="0.3">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7.0351273543515988E-2</v>
      </c>
      <c r="AH111" s="96">
        <f t="shared" si="77"/>
        <v>3.1643893506127632</v>
      </c>
      <c r="AI111" s="98">
        <f t="shared" si="62"/>
        <v>3.2347406241562791</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0.12150000000000002</v>
      </c>
      <c r="AQ111" s="98">
        <f t="shared" si="67"/>
        <v>8.0999999999999996E-3</v>
      </c>
      <c r="AR111" s="97">
        <f t="shared" si="68"/>
        <v>8.5915549763244261</v>
      </c>
      <c r="AS111" s="96">
        <f t="shared" si="69"/>
        <v>66.56</v>
      </c>
      <c r="AT111" s="98">
        <f t="shared" si="70"/>
        <v>88.567695001080025</v>
      </c>
    </row>
    <row r="112" spans="17:46" x14ac:dyDescent="0.3">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7.1672359963269067E-2</v>
      </c>
      <c r="AH112" s="96">
        <f t="shared" si="77"/>
        <v>3.1948161712917318</v>
      </c>
      <c r="AI112" s="98">
        <f t="shared" si="62"/>
        <v>3.2664885312550007</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0.12150000000000002</v>
      </c>
      <c r="AQ112" s="98">
        <f t="shared" si="67"/>
        <v>8.0999999999999996E-3</v>
      </c>
      <c r="AR112" s="97">
        <f t="shared" si="68"/>
        <v>8.6278264192256167</v>
      </c>
      <c r="AS112" s="96">
        <f t="shared" si="69"/>
        <v>67.2</v>
      </c>
      <c r="AT112" s="98">
        <f t="shared" si="70"/>
        <v>88.621820212114002</v>
      </c>
    </row>
    <row r="113" spans="17:46" x14ac:dyDescent="0.3">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7.3006088358330792E-2</v>
      </c>
      <c r="AH113" s="96">
        <f t="shared" si="77"/>
        <v>3.2252429919707009</v>
      </c>
      <c r="AI113" s="98">
        <f t="shared" si="62"/>
        <v>3.2982490803290316</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0.12150000000000002</v>
      </c>
      <c r="AQ113" s="98">
        <f t="shared" si="67"/>
        <v>8.0999999999999996E-3</v>
      </c>
      <c r="AR113" s="97">
        <f t="shared" si="68"/>
        <v>8.6641206176823644</v>
      </c>
      <c r="AS113" s="96">
        <f t="shared" si="69"/>
        <v>67.84</v>
      </c>
      <c r="AT113" s="98">
        <f t="shared" si="70"/>
        <v>88.674962148797221</v>
      </c>
    </row>
    <row r="114" spans="17:46" x14ac:dyDescent="0.3">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7.4352458728701165E-2</v>
      </c>
      <c r="AH114" s="96">
        <f t="shared" si="77"/>
        <v>3.255669812649669</v>
      </c>
      <c r="AI114" s="98">
        <f t="shared" si="62"/>
        <v>3.33002227137837</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0.12150000000000002</v>
      </c>
      <c r="AQ114" s="98">
        <f t="shared" si="67"/>
        <v>8.0999999999999996E-3</v>
      </c>
      <c r="AR114" s="97">
        <f t="shared" si="68"/>
        <v>8.700437571694664</v>
      </c>
      <c r="AS114" s="96">
        <f t="shared" si="69"/>
        <v>68.48</v>
      </c>
      <c r="AT114" s="98">
        <f t="shared" si="70"/>
        <v>88.727146611973239</v>
      </c>
    </row>
    <row r="115" spans="17:46" x14ac:dyDescent="0.3">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7.5711471074380171E-2</v>
      </c>
      <c r="AH115" s="96">
        <f t="shared" si="77"/>
        <v>3.286096633328639</v>
      </c>
      <c r="AI115" s="98">
        <f t="shared" si="62"/>
        <v>3.361808104403019</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0.12150000000000002</v>
      </c>
      <c r="AQ115" s="98">
        <f t="shared" si="67"/>
        <v>8.0999999999999996E-3</v>
      </c>
      <c r="AR115" s="97">
        <f t="shared" si="68"/>
        <v>8.7367772812625244</v>
      </c>
      <c r="AS115" s="96">
        <f t="shared" si="69"/>
        <v>69.12</v>
      </c>
      <c r="AT115" s="98">
        <f t="shared" si="70"/>
        <v>88.778398507685012</v>
      </c>
    </row>
    <row r="116" spans="17:46" x14ac:dyDescent="0.3">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7.7083125395367824E-2</v>
      </c>
      <c r="AH116" s="96">
        <f t="shared" si="77"/>
        <v>3.3165234540076072</v>
      </c>
      <c r="AI116" s="98">
        <f t="shared" si="62"/>
        <v>3.3936065794029751</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0.12150000000000002</v>
      </c>
      <c r="AQ116" s="98">
        <f t="shared" si="67"/>
        <v>8.0999999999999996E-3</v>
      </c>
      <c r="AR116" s="97">
        <f t="shared" si="68"/>
        <v>8.7731397463859366</v>
      </c>
      <c r="AS116" s="96">
        <f t="shared" si="69"/>
        <v>69.760000000000005</v>
      </c>
      <c r="AT116" s="98">
        <f t="shared" si="70"/>
        <v>88.828741885632212</v>
      </c>
    </row>
    <row r="117" spans="17:46" x14ac:dyDescent="0.3">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7.8467421691664138E-2</v>
      </c>
      <c r="AH117" s="96">
        <f t="shared" si="77"/>
        <v>3.3469502746865762</v>
      </c>
      <c r="AI117" s="98">
        <f t="shared" si="62"/>
        <v>3.4254176963782403</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0.12150000000000002</v>
      </c>
      <c r="AQ117" s="98">
        <f t="shared" si="67"/>
        <v>8.0999999999999996E-3</v>
      </c>
      <c r="AR117" s="97">
        <f t="shared" si="68"/>
        <v>8.8095249670649043</v>
      </c>
      <c r="AS117" s="96">
        <f t="shared" si="69"/>
        <v>70.400000000000006</v>
      </c>
      <c r="AT117" s="98">
        <f t="shared" si="70"/>
        <v>88.87819997566217</v>
      </c>
    </row>
    <row r="118" spans="17:46" x14ac:dyDescent="0.3">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7.9864359963269071E-2</v>
      </c>
      <c r="AH118" s="96">
        <f t="shared" si="77"/>
        <v>3.3773770953655449</v>
      </c>
      <c r="AI118" s="98">
        <f t="shared" si="62"/>
        <v>3.457241455328814</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0.12150000000000002</v>
      </c>
      <c r="AQ118" s="98">
        <f t="shared" si="67"/>
        <v>8.0999999999999996E-3</v>
      </c>
      <c r="AR118" s="97">
        <f t="shared" si="68"/>
        <v>8.8459329432994291</v>
      </c>
      <c r="AS118" s="96">
        <f t="shared" si="69"/>
        <v>71.040000000000006</v>
      </c>
      <c r="AT118" s="98">
        <f t="shared" si="70"/>
        <v>88.926795222410433</v>
      </c>
    </row>
    <row r="119" spans="17:46" x14ac:dyDescent="0.3">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8.1273940210182652E-2</v>
      </c>
      <c r="AH119" s="96">
        <f t="shared" si="77"/>
        <v>3.4078039160445139</v>
      </c>
      <c r="AI119" s="98">
        <f t="shared" si="62"/>
        <v>3.4890778562546965</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0.12150000000000002</v>
      </c>
      <c r="AQ119" s="98">
        <f t="shared" si="67"/>
        <v>8.0999999999999996E-3</v>
      </c>
      <c r="AR119" s="97">
        <f t="shared" si="68"/>
        <v>8.8823636750895094</v>
      </c>
      <c r="AS119" s="96">
        <f t="shared" si="69"/>
        <v>71.680000000000007</v>
      </c>
      <c r="AT119" s="98">
        <f t="shared" si="70"/>
        <v>88.974549318199806</v>
      </c>
    </row>
    <row r="120" spans="17:46" x14ac:dyDescent="0.3">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8.2696162432404866E-2</v>
      </c>
      <c r="AH120" s="96">
        <f t="shared" si="77"/>
        <v>3.4382307367234826</v>
      </c>
      <c r="AI120" s="98">
        <f t="shared" si="62"/>
        <v>3.5209268991558873</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0.12150000000000002</v>
      </c>
      <c r="AQ120" s="98">
        <f t="shared" si="67"/>
        <v>8.0999999999999996E-3</v>
      </c>
      <c r="AR120" s="97">
        <f t="shared" si="68"/>
        <v>8.9188171624351451</v>
      </c>
      <c r="AS120" s="96">
        <f t="shared" si="69"/>
        <v>72.320000000000007</v>
      </c>
      <c r="AT120" s="98">
        <f t="shared" si="70"/>
        <v>89.021483234298969</v>
      </c>
    </row>
    <row r="121" spans="17:46" x14ac:dyDescent="0.3">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8.4131026629935754E-2</v>
      </c>
      <c r="AH121" s="96">
        <f t="shared" si="77"/>
        <v>3.4686575574024516</v>
      </c>
      <c r="AI121" s="98">
        <f t="shared" si="62"/>
        <v>3.5527885840323874</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0.12150000000000002</v>
      </c>
      <c r="AQ121" s="98">
        <f t="shared" si="67"/>
        <v>8.0999999999999996E-3</v>
      </c>
      <c r="AR121" s="97">
        <f t="shared" si="68"/>
        <v>8.9552934053363362</v>
      </c>
      <c r="AS121" s="96">
        <f t="shared" si="69"/>
        <v>72.960000000000008</v>
      </c>
      <c r="AT121" s="98">
        <f t="shared" si="70"/>
        <v>89.067617250635465</v>
      </c>
    </row>
    <row r="122" spans="17:46" x14ac:dyDescent="0.3">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8.557853280277522E-2</v>
      </c>
      <c r="AH122" s="96">
        <f t="shared" si="77"/>
        <v>3.4990843780814207</v>
      </c>
      <c r="AI122" s="98">
        <f t="shared" si="62"/>
        <v>3.5846629108841959</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0.12150000000000002</v>
      </c>
      <c r="AQ122" s="98">
        <f t="shared" si="67"/>
        <v>8.0999999999999996E-3</v>
      </c>
      <c r="AR122" s="97">
        <f t="shared" si="68"/>
        <v>8.9917924037930828</v>
      </c>
      <c r="AS122" s="96">
        <f t="shared" si="69"/>
        <v>73.600000000000009</v>
      </c>
      <c r="AT122" s="98">
        <f t="shared" si="70"/>
        <v>89.112970984051273</v>
      </c>
    </row>
    <row r="123" spans="17:46" x14ac:dyDescent="0.3">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8.7038680950923417E-2</v>
      </c>
      <c r="AH123" s="96">
        <f t="shared" si="77"/>
        <v>3.5295111987603902</v>
      </c>
      <c r="AI123" s="98">
        <f t="shared" si="62"/>
        <v>3.6165498797113136</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0.12150000000000002</v>
      </c>
      <c r="AQ123" s="98">
        <f t="shared" si="67"/>
        <v>8.0999999999999996E-3</v>
      </c>
      <c r="AR123" s="97">
        <f t="shared" si="68"/>
        <v>9.0283141578053865</v>
      </c>
      <c r="AS123" s="96">
        <f t="shared" si="69"/>
        <v>74.240000000000009</v>
      </c>
      <c r="AT123" s="98">
        <f t="shared" si="70"/>
        <v>89.157563415184043</v>
      </c>
    </row>
    <row r="124" spans="17:46" x14ac:dyDescent="0.3">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8.8511471074380191E-2</v>
      </c>
      <c r="AH124" s="96">
        <f t="shared" si="77"/>
        <v>3.5599380194393579</v>
      </c>
      <c r="AI124" s="98">
        <f t="shared" si="62"/>
        <v>3.6484494905137383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0.12150000000000002</v>
      </c>
      <c r="AQ124" s="98">
        <f t="shared" si="67"/>
        <v>8.0999999999999996E-3</v>
      </c>
      <c r="AR124" s="97">
        <f t="shared" si="68"/>
        <v>9.0648586673732439</v>
      </c>
      <c r="AS124" s="96">
        <f t="shared" si="69"/>
        <v>74.88</v>
      </c>
      <c r="AT124" s="98">
        <f t="shared" si="70"/>
        <v>89.201412914050835</v>
      </c>
    </row>
    <row r="125" spans="17:46" x14ac:dyDescent="0.3">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8.9996903173145598E-2</v>
      </c>
      <c r="AH125" s="96">
        <f t="shared" si="77"/>
        <v>3.5903648401183279</v>
      </c>
      <c r="AI125" s="98">
        <f t="shared" si="62"/>
        <v>3.6803617432914737</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0.12150000000000002</v>
      </c>
      <c r="AQ125" s="98">
        <f t="shared" si="67"/>
        <v>8.0999999999999996E-3</v>
      </c>
      <c r="AR125" s="97">
        <f t="shared" si="68"/>
        <v>9.1014259324966567</v>
      </c>
      <c r="AS125" s="96">
        <f t="shared" si="69"/>
        <v>75.52000000000001</v>
      </c>
      <c r="AT125" s="98">
        <f t="shared" si="70"/>
        <v>89.244537264407541</v>
      </c>
    </row>
    <row r="126" spans="17:46" x14ac:dyDescent="0.3">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9.1494977247219667E-2</v>
      </c>
      <c r="AH126" s="96">
        <f t="shared" si="77"/>
        <v>3.6207916607972956</v>
      </c>
      <c r="AI126" s="98">
        <f t="shared" si="62"/>
        <v>3.7122866380445152</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0.12150000000000002</v>
      </c>
      <c r="AQ126" s="98">
        <f t="shared" si="67"/>
        <v>8.0999999999999996E-3</v>
      </c>
      <c r="AR126" s="97">
        <f t="shared" si="68"/>
        <v>9.1380159531756249</v>
      </c>
      <c r="AS126" s="96">
        <f t="shared" si="69"/>
        <v>76.16</v>
      </c>
      <c r="AT126" s="98">
        <f t="shared" si="70"/>
        <v>89.286953686951009</v>
      </c>
    </row>
    <row r="127" spans="17:46" x14ac:dyDescent="0.3">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9.3005693296602396E-2</v>
      </c>
      <c r="AH127" s="96">
        <f t="shared" si="77"/>
        <v>3.6512184814762656</v>
      </c>
      <c r="AI127" s="98">
        <f t="shared" si="62"/>
        <v>3.7442241747728682</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0.12150000000000002</v>
      </c>
      <c r="AQ127" s="98">
        <f t="shared" si="67"/>
        <v>8.0999999999999996E-3</v>
      </c>
      <c r="AR127" s="97">
        <f t="shared" si="68"/>
        <v>9.1746287294101521</v>
      </c>
      <c r="AS127" s="96">
        <f t="shared" si="69"/>
        <v>76.800000000000011</v>
      </c>
      <c r="AT127" s="98">
        <f t="shared" si="70"/>
        <v>89.328678861428216</v>
      </c>
    </row>
    <row r="128" spans="17:46" x14ac:dyDescent="0.3">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9.4529051321293814E-2</v>
      </c>
      <c r="AH128" s="96">
        <f t="shared" si="77"/>
        <v>3.6816453021552338</v>
      </c>
      <c r="AI128" s="98">
        <f t="shared" si="62"/>
        <v>3.7761743534765277</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0.12150000000000002</v>
      </c>
      <c r="AQ128" s="98">
        <f t="shared" si="67"/>
        <v>8.0999999999999996E-3</v>
      </c>
      <c r="AR128" s="97">
        <f t="shared" si="68"/>
        <v>9.2112642612002293</v>
      </c>
      <c r="AS128" s="96">
        <f t="shared" si="69"/>
        <v>77.440000000000012</v>
      </c>
      <c r="AT128" s="98">
        <f t="shared" si="70"/>
        <v>89.369728947711678</v>
      </c>
    </row>
    <row r="129" spans="17:46" x14ac:dyDescent="0.3">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9.606505132129374E-2</v>
      </c>
      <c r="AH129" s="96">
        <f t="shared" si="77"/>
        <v>3.7120721228342028</v>
      </c>
      <c r="AI129" s="98">
        <f t="shared" si="62"/>
        <v>3.8081371741554966</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0.12150000000000002</v>
      </c>
      <c r="AQ129" s="98">
        <f t="shared" si="67"/>
        <v>8.0999999999999996E-3</v>
      </c>
      <c r="AR129" s="97">
        <f t="shared" si="68"/>
        <v>9.2479225485458656</v>
      </c>
      <c r="AS129" s="96">
        <f t="shared" si="69"/>
        <v>78.08</v>
      </c>
      <c r="AT129" s="98">
        <f t="shared" si="70"/>
        <v>89.410119605897037</v>
      </c>
    </row>
    <row r="130" spans="17:46" x14ac:dyDescent="0.3">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9.7613693296602355E-2</v>
      </c>
      <c r="AH130" s="96">
        <f t="shared" si="77"/>
        <v>3.7424989435131715</v>
      </c>
      <c r="AI130" s="98">
        <f t="shared" si="62"/>
        <v>3.8401126368097738</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0.12150000000000002</v>
      </c>
      <c r="AQ130" s="98">
        <f t="shared" si="67"/>
        <v>8.0999999999999996E-3</v>
      </c>
      <c r="AR130" s="97">
        <f t="shared" si="68"/>
        <v>9.2846035914470555</v>
      </c>
      <c r="AS130" s="96">
        <f t="shared" si="69"/>
        <v>78.72</v>
      </c>
      <c r="AT130" s="98">
        <f t="shared" si="70"/>
        <v>89.449866015475806</v>
      </c>
    </row>
    <row r="131" spans="17:46" x14ac:dyDescent="0.3">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9.9174977247219728E-2</v>
      </c>
      <c r="AH131" s="96">
        <f t="shared" si="77"/>
        <v>3.772925764192141</v>
      </c>
      <c r="AI131" s="98">
        <f t="shared" si="62"/>
        <v>3.8721007414393607</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0.12150000000000002</v>
      </c>
      <c r="AQ131" s="98">
        <f t="shared" si="67"/>
        <v>8.0999999999999996E-3</v>
      </c>
      <c r="AR131" s="97">
        <f t="shared" si="68"/>
        <v>9.3213073899038026</v>
      </c>
      <c r="AS131" s="96">
        <f t="shared" si="69"/>
        <v>79.360000000000014</v>
      </c>
      <c r="AT131" s="98">
        <f t="shared" si="70"/>
        <v>89.488982893631743</v>
      </c>
    </row>
    <row r="132" spans="17:46" x14ac:dyDescent="0.3">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0.10074890317314561</v>
      </c>
      <c r="AH132" s="96">
        <f t="shared" si="77"/>
        <v>3.8033525848711087</v>
      </c>
      <c r="AI132" s="98">
        <f t="shared" si="62"/>
        <v>3.9041014880442542</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0.12150000000000002</v>
      </c>
      <c r="AQ132" s="98">
        <f t="shared" si="67"/>
        <v>8.0999999999999996E-3</v>
      </c>
      <c r="AR132" s="97">
        <f t="shared" si="68"/>
        <v>9.3580339439161051</v>
      </c>
      <c r="AS132" s="96">
        <f t="shared" si="69"/>
        <v>80</v>
      </c>
      <c r="AT132" s="98">
        <f t="shared" si="70"/>
        <v>89.527484512708185</v>
      </c>
    </row>
    <row r="133" spans="17:46" x14ac:dyDescent="0.3">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0.10233547107438018</v>
      </c>
      <c r="AH133" s="96">
        <f t="shared" si="77"/>
        <v>3.8337794055500787</v>
      </c>
      <c r="AI133" s="98">
        <f t="shared" si="62"/>
        <v>3.9361148766244587</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0.12150000000000002</v>
      </c>
      <c r="AQ133" s="98">
        <f t="shared" si="67"/>
        <v>8.0999999999999996E-3</v>
      </c>
      <c r="AR133" s="97">
        <f t="shared" si="68"/>
        <v>9.394783253483963</v>
      </c>
      <c r="AS133" s="96">
        <f t="shared" si="69"/>
        <v>80.640000000000015</v>
      </c>
      <c r="AT133" s="98">
        <f t="shared" si="70"/>
        <v>89.565384716888929</v>
      </c>
    </row>
    <row r="134" spans="17:46" x14ac:dyDescent="0.3">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0.10393468095092337</v>
      </c>
      <c r="AH134" s="96">
        <f t="shared" si="77"/>
        <v>3.8642062262290464</v>
      </c>
      <c r="AI134" s="98">
        <f t="shared" si="62"/>
        <v>3.9681409071799698</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0.12150000000000002</v>
      </c>
      <c r="AQ134" s="98">
        <f t="shared" si="67"/>
        <v>8.0999999999999996E-3</v>
      </c>
      <c r="AR134" s="97">
        <f t="shared" si="68"/>
        <v>9.4315553186073764</v>
      </c>
      <c r="AS134" s="96">
        <f t="shared" si="69"/>
        <v>81.28</v>
      </c>
      <c r="AT134" s="98">
        <f t="shared" si="70"/>
        <v>89.602696938134514</v>
      </c>
    </row>
    <row r="135" spans="17:46" x14ac:dyDescent="0.3">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0.10554653280277522</v>
      </c>
      <c r="AH135" s="96">
        <f t="shared" ref="AH135:AH157" si="88">(((R135+T135)*(U135+S135))/2)*Fsw*(tr_sw+tf_sw)</f>
        <v>3.8946330469080159</v>
      </c>
      <c r="AI135" s="98">
        <f t="shared" si="62"/>
        <v>4.0001795797107915</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0.12150000000000002</v>
      </c>
      <c r="AQ135" s="98">
        <f t="shared" si="67"/>
        <v>8.0999999999999996E-3</v>
      </c>
      <c r="AR135" s="97">
        <f t="shared" si="68"/>
        <v>9.4683501392863452</v>
      </c>
      <c r="AS135" s="96">
        <f t="shared" si="69"/>
        <v>81.92</v>
      </c>
      <c r="AT135" s="98">
        <f t="shared" si="70"/>
        <v>89.639434211411526</v>
      </c>
    </row>
    <row r="136" spans="17:46" x14ac:dyDescent="0.3">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0.10717102662993572</v>
      </c>
      <c r="AH136" s="96">
        <f t="shared" si="88"/>
        <v>3.9250598675869854</v>
      </c>
      <c r="AI136" s="98">
        <f t="shared" ref="AI136:AI157" si="99">AG136+AH136</f>
        <v>4.0322308942169212</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0.12150000000000002</v>
      </c>
      <c r="AQ136" s="98">
        <f t="shared" ref="AQ136:AQ157" si="104">IQ*T136</f>
        <v>8.0999999999999996E-3</v>
      </c>
      <c r="AR136" s="97">
        <f t="shared" ref="AR136:AR157" si="105">AO136+AN136+AI136+AP136+AQ136</f>
        <v>9.5051677155208694</v>
      </c>
      <c r="AS136" s="96">
        <f t="shared" ref="AS136:AS157" si="106">R136*S136</f>
        <v>82.56</v>
      </c>
      <c r="AT136" s="98">
        <f t="shared" ref="AT136:AT157" si="107">(AS136/(AS136+AR136))*100</f>
        <v>89.675609189252114</v>
      </c>
    </row>
    <row r="137" spans="17:46" x14ac:dyDescent="0.3">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0.10880816243240488</v>
      </c>
      <c r="AH137" s="96">
        <f t="shared" si="88"/>
        <v>3.9554866882659545</v>
      </c>
      <c r="AI137" s="98">
        <f t="shared" si="99"/>
        <v>4.0642948506983592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0.12150000000000002</v>
      </c>
      <c r="AQ137" s="98">
        <f t="shared" si="104"/>
        <v>8.0999999999999996E-3</v>
      </c>
      <c r="AR137" s="97">
        <f t="shared" si="105"/>
        <v>9.5420080473109508</v>
      </c>
      <c r="AS137" s="96">
        <f t="shared" si="106"/>
        <v>83.2</v>
      </c>
      <c r="AT137" s="98">
        <f t="shared" si="107"/>
        <v>89.711234155677076</v>
      </c>
    </row>
    <row r="138" spans="17:46" x14ac:dyDescent="0.3">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0.1104579402101826</v>
      </c>
      <c r="AH138" s="96">
        <f t="shared" si="88"/>
        <v>3.9859135089449227</v>
      </c>
      <c r="AI138" s="98">
        <f t="shared" si="99"/>
        <v>4.0963714491551055</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0.12150000000000002</v>
      </c>
      <c r="AQ138" s="98">
        <f t="shared" si="104"/>
        <v>8.0999999999999996E-3</v>
      </c>
      <c r="AR138" s="97">
        <f t="shared" si="105"/>
        <v>9.578871134656584</v>
      </c>
      <c r="AS138" s="96">
        <f t="shared" si="106"/>
        <v>83.84</v>
      </c>
      <c r="AT138" s="98">
        <f t="shared" si="107"/>
        <v>89.746321039515323</v>
      </c>
    </row>
    <row r="139" spans="17:46" x14ac:dyDescent="0.3">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0.11212035996326904</v>
      </c>
      <c r="AH139" s="96">
        <f t="shared" si="88"/>
        <v>4.0163403296238913</v>
      </c>
      <c r="AI139" s="98">
        <f t="shared" si="99"/>
        <v>4.1284606895871603</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0.12150000000000002</v>
      </c>
      <c r="AQ139" s="98">
        <f t="shared" si="104"/>
        <v>8.0999999999999996E-3</v>
      </c>
      <c r="AR139" s="97">
        <f t="shared" si="105"/>
        <v>9.6157569775577763</v>
      </c>
      <c r="AS139" s="96">
        <f t="shared" si="106"/>
        <v>84.48</v>
      </c>
      <c r="AT139" s="98">
        <f t="shared" si="107"/>
        <v>89.780881427149609</v>
      </c>
    </row>
    <row r="140" spans="17:46" x14ac:dyDescent="0.3">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0.11379542169166412</v>
      </c>
      <c r="AH140" s="96">
        <f t="shared" si="88"/>
        <v>4.0467671503028599</v>
      </c>
      <c r="AI140" s="98">
        <f t="shared" si="99"/>
        <v>4.1605625719945243</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0.12150000000000002</v>
      </c>
      <c r="AQ140" s="98">
        <f t="shared" si="104"/>
        <v>8.0999999999999996E-3</v>
      </c>
      <c r="AR140" s="97">
        <f t="shared" si="105"/>
        <v>9.6526655760145221</v>
      </c>
      <c r="AS140" s="96">
        <f t="shared" si="106"/>
        <v>85.12</v>
      </c>
      <c r="AT140" s="98">
        <f t="shared" si="107"/>
        <v>89.814926574717475</v>
      </c>
    </row>
    <row r="141" spans="17:46" x14ac:dyDescent="0.3">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0.11548312539536784</v>
      </c>
      <c r="AH141" s="96">
        <f t="shared" si="88"/>
        <v>4.0771939709818295</v>
      </c>
      <c r="AI141" s="98">
        <f t="shared" si="99"/>
        <v>4.1926770963771975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0.12150000000000002</v>
      </c>
      <c r="AQ141" s="98">
        <f t="shared" si="104"/>
        <v>8.0999999999999996E-3</v>
      </c>
      <c r="AR141" s="97">
        <f t="shared" si="105"/>
        <v>9.689596930026827</v>
      </c>
      <c r="AS141" s="96">
        <f t="shared" si="106"/>
        <v>85.76</v>
      </c>
      <c r="AT141" s="98">
        <f t="shared" si="107"/>
        <v>89.848467419794162</v>
      </c>
    </row>
    <row r="142" spans="17:46" x14ac:dyDescent="0.3">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0.11718347107438018</v>
      </c>
      <c r="AH142" s="96">
        <f t="shared" si="88"/>
        <v>4.1076207916607981</v>
      </c>
      <c r="AI142" s="98">
        <f t="shared" si="99"/>
        <v>4.2248042627351783</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0.12150000000000002</v>
      </c>
      <c r="AQ142" s="98">
        <f t="shared" si="104"/>
        <v>8.0999999999999996E-3</v>
      </c>
      <c r="AR142" s="97">
        <f t="shared" si="105"/>
        <v>9.7265510395946819</v>
      </c>
      <c r="AS142" s="96">
        <f t="shared" si="106"/>
        <v>86.4</v>
      </c>
      <c r="AT142" s="98">
        <f t="shared" si="107"/>
        <v>89.88151459258296</v>
      </c>
    </row>
    <row r="143" spans="17:46" x14ac:dyDescent="0.3">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0.11889645872870118</v>
      </c>
      <c r="AH143" s="96">
        <f t="shared" si="88"/>
        <v>4.1380476123397658</v>
      </c>
      <c r="AI143" s="98">
        <f t="shared" si="99"/>
        <v>4.2569440710684674</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0.12150000000000002</v>
      </c>
      <c r="AQ143" s="98">
        <f t="shared" si="104"/>
        <v>8.0999999999999996E-3</v>
      </c>
      <c r="AR143" s="97">
        <f t="shared" si="105"/>
        <v>9.7635279047180958</v>
      </c>
      <c r="AS143" s="96">
        <f t="shared" si="106"/>
        <v>87.04</v>
      </c>
      <c r="AT143" s="98">
        <f t="shared" si="107"/>
        <v>89.91407842663736</v>
      </c>
    </row>
    <row r="144" spans="17:46" x14ac:dyDescent="0.3">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0.12062208835833081</v>
      </c>
      <c r="AH144" s="96">
        <f t="shared" si="88"/>
        <v>4.1684744330187362</v>
      </c>
      <c r="AI144" s="98">
        <f t="shared" si="99"/>
        <v>4.2890965213770667</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0.12150000000000002</v>
      </c>
      <c r="AQ144" s="98">
        <f t="shared" si="104"/>
        <v>8.0999999999999996E-3</v>
      </c>
      <c r="AR144" s="97">
        <f t="shared" si="105"/>
        <v>9.8005275253970652</v>
      </c>
      <c r="AS144" s="96">
        <f t="shared" si="106"/>
        <v>87.68</v>
      </c>
      <c r="AT144" s="98">
        <f t="shared" si="107"/>
        <v>89.946168969137261</v>
      </c>
    </row>
    <row r="145" spans="17:46" x14ac:dyDescent="0.3">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0.12236035996326905</v>
      </c>
      <c r="AH145" s="96">
        <f t="shared" si="88"/>
        <v>4.1989012536977048</v>
      </c>
      <c r="AI145" s="98">
        <f t="shared" si="99"/>
        <v>4.3212616136609743</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0.12150000000000002</v>
      </c>
      <c r="AQ145" s="98">
        <f t="shared" si="104"/>
        <v>8.0999999999999996E-3</v>
      </c>
      <c r="AR145" s="97">
        <f t="shared" si="105"/>
        <v>9.8375499016315899</v>
      </c>
      <c r="AS145" s="96">
        <f t="shared" si="106"/>
        <v>88.320000000000007</v>
      </c>
      <c r="AT145" s="98">
        <f t="shared" si="107"/>
        <v>89.977795990741143</v>
      </c>
    </row>
    <row r="146" spans="17:46" x14ac:dyDescent="0.3">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0.12411127354351602</v>
      </c>
      <c r="AH146" s="96">
        <f t="shared" si="88"/>
        <v>4.2293280743766744</v>
      </c>
      <c r="AI146" s="98">
        <f t="shared" si="99"/>
        <v>4.3534393479201903</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0.12150000000000002</v>
      </c>
      <c r="AQ146" s="98">
        <f t="shared" si="104"/>
        <v>8.0999999999999996E-3</v>
      </c>
      <c r="AR146" s="97">
        <f t="shared" si="105"/>
        <v>9.8745950334216701</v>
      </c>
      <c r="AS146" s="96">
        <f t="shared" si="106"/>
        <v>88.960000000000008</v>
      </c>
      <c r="AT146" s="98">
        <f t="shared" si="107"/>
        <v>90.008968995034081</v>
      </c>
    </row>
    <row r="147" spans="17:46" x14ac:dyDescent="0.3">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0.12587482909907152</v>
      </c>
      <c r="AH147" s="96">
        <f t="shared" si="88"/>
        <v>4.2597548950556421</v>
      </c>
      <c r="AI147" s="98">
        <f t="shared" si="99"/>
        <v>4.3856297241547137</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0.12150000000000002</v>
      </c>
      <c r="AQ147" s="98">
        <f t="shared" si="104"/>
        <v>8.0999999999999996E-3</v>
      </c>
      <c r="AR147" s="97">
        <f t="shared" si="105"/>
        <v>9.9116629207673057</v>
      </c>
      <c r="AS147" s="96">
        <f t="shared" si="106"/>
        <v>89.6</v>
      </c>
      <c r="AT147" s="98">
        <f t="shared" si="107"/>
        <v>90.039697227591191</v>
      </c>
    </row>
    <row r="148" spans="17:46" x14ac:dyDescent="0.3">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0.12765102662993574</v>
      </c>
      <c r="AH148" s="96">
        <f t="shared" si="88"/>
        <v>4.2901817157346116</v>
      </c>
      <c r="AI148" s="98">
        <f t="shared" si="99"/>
        <v>4.4178327423645474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0.12150000000000002</v>
      </c>
      <c r="AQ148" s="98">
        <f t="shared" si="104"/>
        <v>8.0999999999999996E-3</v>
      </c>
      <c r="AR148" s="97">
        <f t="shared" si="105"/>
        <v>9.9487535636684967</v>
      </c>
      <c r="AS148" s="96">
        <f t="shared" si="106"/>
        <v>90.240000000000009</v>
      </c>
      <c r="AT148" s="98">
        <f t="shared" si="107"/>
        <v>90.069989684674326</v>
      </c>
    </row>
    <row r="149" spans="17:46" x14ac:dyDescent="0.3">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0.12943986613610858</v>
      </c>
      <c r="AH149" s="96">
        <f t="shared" si="88"/>
        <v>4.3206085364135802</v>
      </c>
      <c r="AI149" s="98">
        <f t="shared" si="99"/>
        <v>4.4500484025496885</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0.12150000000000002</v>
      </c>
      <c r="AQ149" s="98">
        <f t="shared" si="104"/>
        <v>8.0999999999999996E-3</v>
      </c>
      <c r="AR149" s="97">
        <f t="shared" si="105"/>
        <v>9.9858669621252432</v>
      </c>
      <c r="AS149" s="96">
        <f t="shared" si="106"/>
        <v>90.88000000000001</v>
      </c>
      <c r="AT149" s="98">
        <f t="shared" si="107"/>
        <v>90.099855121579537</v>
      </c>
    </row>
    <row r="150" spans="17:46" x14ac:dyDescent="0.3">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0.13124134761759007</v>
      </c>
      <c r="AH150" s="96">
        <f t="shared" si="88"/>
        <v>4.3510353570925488</v>
      </c>
      <c r="AI150" s="98">
        <f t="shared" si="99"/>
        <v>4.4822767047101388</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0.12150000000000002</v>
      </c>
      <c r="AQ150" s="98">
        <f t="shared" si="104"/>
        <v>8.0999999999999996E-3</v>
      </c>
      <c r="AR150" s="97">
        <f t="shared" si="105"/>
        <v>10.023003116137545</v>
      </c>
      <c r="AS150" s="96">
        <f t="shared" si="106"/>
        <v>91.52000000000001</v>
      </c>
      <c r="AT150" s="98">
        <f t="shared" si="107"/>
        <v>90.129302060651128</v>
      </c>
    </row>
    <row r="151" spans="17:46" x14ac:dyDescent="0.3">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0.1330554710743802</v>
      </c>
      <c r="AH151" s="96">
        <f t="shared" si="88"/>
        <v>4.3814621777715175</v>
      </c>
      <c r="AI151" s="98">
        <f t="shared" si="99"/>
        <v>4.5145176488458976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0.12150000000000002</v>
      </c>
      <c r="AQ151" s="98">
        <f t="shared" si="104"/>
        <v>8.0999999999999996E-3</v>
      </c>
      <c r="AR151" s="97">
        <f t="shared" si="105"/>
        <v>10.060162025705402</v>
      </c>
      <c r="AS151" s="96">
        <f t="shared" si="106"/>
        <v>92.160000000000011</v>
      </c>
      <c r="AT151" s="98">
        <f t="shared" si="107"/>
        <v>90.158338798978278</v>
      </c>
    </row>
    <row r="152" spans="17:46" x14ac:dyDescent="0.3">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0.1348822365064789</v>
      </c>
      <c r="AH152" s="96">
        <f t="shared" si="88"/>
        <v>4.411888998450487</v>
      </c>
      <c r="AI152" s="98">
        <f t="shared" si="99"/>
        <v>4.5467712349569656</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0.12150000000000002</v>
      </c>
      <c r="AQ152" s="98">
        <f t="shared" si="104"/>
        <v>8.0999999999999996E-3</v>
      </c>
      <c r="AR152" s="97">
        <f t="shared" si="105"/>
        <v>10.097343690828815</v>
      </c>
      <c r="AS152" s="96">
        <f t="shared" si="106"/>
        <v>92.8</v>
      </c>
      <c r="AT152" s="98">
        <f t="shared" si="107"/>
        <v>90.186973415788202</v>
      </c>
    </row>
    <row r="153" spans="17:46" x14ac:dyDescent="0.3">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0.13672164391388633</v>
      </c>
      <c r="AH153" s="96">
        <f t="shared" si="88"/>
        <v>4.4423158191294547</v>
      </c>
      <c r="AI153" s="98">
        <f t="shared" si="99"/>
        <v>4.579037463043341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0.12150000000000002</v>
      </c>
      <c r="AQ153" s="98">
        <f t="shared" si="104"/>
        <v>8.0999999999999996E-3</v>
      </c>
      <c r="AR153" s="97">
        <f t="shared" si="105"/>
        <v>10.134548111507783</v>
      </c>
      <c r="AS153" s="96">
        <f t="shared" si="106"/>
        <v>93.44</v>
      </c>
      <c r="AT153" s="98">
        <f t="shared" si="107"/>
        <v>90.215213779550368</v>
      </c>
    </row>
    <row r="154" spans="17:46" x14ac:dyDescent="0.3">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0.13857369329660243</v>
      </c>
      <c r="AH154" s="96">
        <f t="shared" si="88"/>
        <v>4.4727426398084251</v>
      </c>
      <c r="AI154" s="98">
        <f t="shared" si="99"/>
        <v>4.6113163331050275</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0.12150000000000002</v>
      </c>
      <c r="AQ154" s="98">
        <f t="shared" si="104"/>
        <v>8.0999999999999996E-3</v>
      </c>
      <c r="AR154" s="97">
        <f t="shared" si="105"/>
        <v>10.17177528774231</v>
      </c>
      <c r="AS154" s="96">
        <f t="shared" si="106"/>
        <v>94.080000000000013</v>
      </c>
      <c r="AT154" s="98">
        <f t="shared" si="107"/>
        <v>90.243067554804242</v>
      </c>
    </row>
    <row r="155" spans="17:46" x14ac:dyDescent="0.3">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0.14043838465462707</v>
      </c>
      <c r="AH155" s="96">
        <f t="shared" si="88"/>
        <v>4.5031694604873929</v>
      </c>
      <c r="AI155" s="98">
        <f t="shared" si="99"/>
        <v>4.6436078451420197</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0.12150000000000002</v>
      </c>
      <c r="AQ155" s="98">
        <f t="shared" si="104"/>
        <v>8.0999999999999996E-3</v>
      </c>
      <c r="AR155" s="97">
        <f t="shared" si="105"/>
        <v>10.209025219532389</v>
      </c>
      <c r="AS155" s="96">
        <f t="shared" si="106"/>
        <v>94.72</v>
      </c>
      <c r="AT155" s="98">
        <f t="shared" si="107"/>
        <v>90.270542208723398</v>
      </c>
    </row>
    <row r="156" spans="17:46" x14ac:dyDescent="0.3">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0.14231571798796042</v>
      </c>
      <c r="AH156" s="96">
        <f t="shared" si="88"/>
        <v>4.5335962811663624</v>
      </c>
      <c r="AI156" s="98">
        <f t="shared" si="99"/>
        <v>4.675911999154323</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0.12150000000000002</v>
      </c>
      <c r="AQ156" s="98">
        <f t="shared" si="104"/>
        <v>8.0999999999999996E-3</v>
      </c>
      <c r="AR156" s="97">
        <f t="shared" si="105"/>
        <v>10.246297906878025</v>
      </c>
      <c r="AS156" s="96">
        <f t="shared" si="106"/>
        <v>95.360000000000014</v>
      </c>
      <c r="AT156" s="98">
        <f t="shared" si="107"/>
        <v>90.297645017427797</v>
      </c>
    </row>
    <row r="157" spans="17:46" ht="15" thickBot="1" x14ac:dyDescent="0.35">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0.14420569329660235</v>
      </c>
      <c r="AH157" s="96">
        <f t="shared" si="88"/>
        <v>4.5640231018453301</v>
      </c>
      <c r="AI157" s="98">
        <f t="shared" si="99"/>
        <v>4.7082287951419328</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0.12150000000000002</v>
      </c>
      <c r="AQ157" s="98">
        <f t="shared" si="104"/>
        <v>8.0999999999999996E-3</v>
      </c>
      <c r="AR157" s="97">
        <f t="shared" si="105"/>
        <v>10.283593349779215</v>
      </c>
      <c r="AS157" s="96">
        <f t="shared" si="106"/>
        <v>96</v>
      </c>
      <c r="AT157" s="98">
        <f t="shared" si="107"/>
        <v>90.324383072055241</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6640625" customWidth="1"/>
    <col min="2" max="2" width="25" customWidth="1"/>
    <col min="8" max="10" width="8.88671875" style="32"/>
    <col min="15" max="15" width="16.5546875" style="52" bestFit="1" customWidth="1"/>
    <col min="16" max="16" width="16.5546875" customWidth="1"/>
    <col min="29" max="29" width="8.88671875" style="32"/>
    <col min="32" max="37" width="8.6640625" style="32"/>
    <col min="38" max="38" width="11.44140625" style="32" bestFit="1" customWidth="1"/>
    <col min="39" max="40" width="8.6640625" style="32"/>
    <col min="41" max="41" width="13.109375" style="32" bestFit="1" customWidth="1"/>
    <col min="42" max="44" width="8.6640625" style="32"/>
    <col min="46" max="46" width="10.109375" customWidth="1"/>
    <col min="47" max="47" width="12" bestFit="1" customWidth="1"/>
    <col min="55" max="55" width="8.88671875" style="32"/>
    <col min="58" max="58" width="8.886718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44" t="s">
        <v>584</v>
      </c>
      <c r="AG2" s="244"/>
      <c r="AH2" s="244"/>
      <c r="AI2" s="244"/>
      <c r="AJ2" s="244"/>
      <c r="AK2" s="244"/>
      <c r="AL2" s="244"/>
      <c r="AM2" s="244"/>
      <c r="AN2" s="244"/>
      <c r="AO2" s="244"/>
      <c r="AP2" s="244"/>
      <c r="AQ2" s="244"/>
      <c r="AR2" s="244"/>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7" t="s">
        <v>222</v>
      </c>
      <c r="Q4" s="247"/>
      <c r="R4" s="247"/>
      <c r="S4" s="247"/>
      <c r="T4" s="247"/>
      <c r="U4" s="247"/>
      <c r="V4" s="247"/>
      <c r="W4" s="247"/>
      <c r="X4" s="247"/>
      <c r="Y4" s="247"/>
      <c r="Z4" s="247"/>
      <c r="AA4" s="247"/>
      <c r="AB4" s="247"/>
      <c r="AC4" s="247"/>
      <c r="AD4" s="247"/>
      <c r="AE4" s="246"/>
      <c r="AF4" s="218"/>
      <c r="AG4" s="218"/>
      <c r="AH4" s="218"/>
      <c r="AI4" s="218"/>
      <c r="AJ4" s="218"/>
      <c r="AK4" s="218"/>
      <c r="AL4" s="218"/>
      <c r="AM4" s="218"/>
      <c r="AN4" s="218"/>
      <c r="AO4" s="218"/>
      <c r="AP4" s="218"/>
      <c r="AQ4" s="218"/>
      <c r="AR4" s="218"/>
      <c r="AS4" s="245" t="s">
        <v>223</v>
      </c>
      <c r="AT4" s="247"/>
      <c r="AU4" s="247"/>
      <c r="AV4" s="247"/>
      <c r="AW4" s="247"/>
      <c r="AX4" s="247"/>
      <c r="AY4" s="247"/>
      <c r="AZ4" s="247"/>
      <c r="BA4" s="247"/>
      <c r="BB4" s="247"/>
      <c r="BC4" s="247"/>
      <c r="BD4" s="247"/>
      <c r="BE4" s="246"/>
      <c r="BF4" s="245" t="s">
        <v>506</v>
      </c>
      <c r="BG4" s="247"/>
      <c r="BH4" s="246"/>
      <c r="BI4" s="245" t="s">
        <v>507</v>
      </c>
      <c r="BJ4" s="247"/>
      <c r="BK4" s="246"/>
      <c r="BL4" s="255" t="s">
        <v>508</v>
      </c>
      <c r="BM4" s="256"/>
    </row>
    <row r="5" spans="1:65" s="32" customFormat="1" x14ac:dyDescent="0.3">
      <c r="A5" s="12"/>
      <c r="D5" s="18"/>
      <c r="E5" s="12"/>
      <c r="F5" s="12"/>
      <c r="G5" s="12"/>
      <c r="H5" s="12"/>
      <c r="I5" s="12"/>
      <c r="J5" s="12"/>
      <c r="K5" s="12"/>
      <c r="L5" s="12"/>
      <c r="M5" s="12"/>
      <c r="N5" s="60"/>
      <c r="O5" s="63"/>
      <c r="P5" s="51"/>
      <c r="Q5" s="251" t="s">
        <v>214</v>
      </c>
      <c r="R5" s="251"/>
      <c r="S5" s="251"/>
      <c r="T5" s="249" t="s">
        <v>216</v>
      </c>
      <c r="U5" s="249"/>
      <c r="V5" s="249"/>
      <c r="W5" s="249" t="s">
        <v>216</v>
      </c>
      <c r="X5" s="249"/>
      <c r="Y5" s="249"/>
      <c r="Z5" s="249" t="s">
        <v>219</v>
      </c>
      <c r="AA5" s="249"/>
      <c r="AB5" s="249"/>
      <c r="AC5" s="248" t="s">
        <v>221</v>
      </c>
      <c r="AD5" s="249"/>
      <c r="AE5" s="250"/>
      <c r="AF5" s="217"/>
      <c r="AG5" s="251" t="s">
        <v>214</v>
      </c>
      <c r="AH5" s="251"/>
      <c r="AI5" s="251"/>
      <c r="AJ5" s="252" t="s">
        <v>216</v>
      </c>
      <c r="AK5" s="252"/>
      <c r="AL5" s="252"/>
      <c r="AM5" s="249" t="s">
        <v>258</v>
      </c>
      <c r="AN5" s="249"/>
      <c r="AO5" s="249"/>
      <c r="AP5" s="253" t="s">
        <v>221</v>
      </c>
      <c r="AQ5" s="252"/>
      <c r="AR5" s="254"/>
      <c r="AS5" s="51"/>
      <c r="AT5" s="249" t="s">
        <v>229</v>
      </c>
      <c r="AU5" s="249"/>
      <c r="AV5" s="249"/>
      <c r="AW5" s="249" t="s">
        <v>230</v>
      </c>
      <c r="AX5" s="249"/>
      <c r="AY5" s="249"/>
      <c r="AZ5" s="249" t="s">
        <v>224</v>
      </c>
      <c r="BA5" s="249"/>
      <c r="BB5" s="249"/>
      <c r="BC5" s="248" t="s">
        <v>221</v>
      </c>
      <c r="BD5" s="249"/>
      <c r="BE5" s="250"/>
      <c r="BF5" s="248" t="s">
        <v>221</v>
      </c>
      <c r="BG5" s="249"/>
      <c r="BH5" s="250"/>
      <c r="BI5" s="248" t="s">
        <v>221</v>
      </c>
      <c r="BJ5" s="249"/>
      <c r="BK5" s="250"/>
      <c r="BL5" s="248"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1+7.29831243337081i</v>
      </c>
      <c r="R7" s="89">
        <f t="shared" ref="R7:R13" si="0">IMABS(Q7)</f>
        <v>7.3665028592334743</v>
      </c>
      <c r="S7" s="89">
        <f t="shared" ref="S7:S13" si="1">IMARGUMENT(Q7)</f>
        <v>1.4346262745869871</v>
      </c>
      <c r="T7" s="89" t="str">
        <f>IMSUM(COMPLEX(1,0),IMDIV(COMPLEX(0,2*PI()*O7),COMPLEX(wz_esr_VINmin,0)))</f>
        <v>1+0.0389243329779776i</v>
      </c>
      <c r="U7" s="89">
        <f t="shared" ref="U7:U13" si="2">IMABS(T7)</f>
        <v>1.0007572651236565</v>
      </c>
      <c r="V7" s="89">
        <f t="shared" ref="V7:V13" si="3">IMARGUMENT(T7)</f>
        <v>3.8904692695517669E-2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-0.07213986198581-1.87450664220158i</v>
      </c>
      <c r="AD7" s="91">
        <f t="shared" ref="AD7:AD13" si="9">20*LOG(IMABS(AC7))</f>
        <v>5.4641671355441845</v>
      </c>
      <c r="AE7" s="92">
        <f t="shared" ref="AE7:AE13" si="10">(180/PI())*IMARGUMENT(AC7)</f>
        <v>-92.203924364015464</v>
      </c>
      <c r="AF7" s="51" t="e">
        <f>COMPLEX($B$68,0)</f>
        <v>#NUM!</v>
      </c>
      <c r="AG7" s="51" t="str">
        <f t="shared" ref="AG7:AG13" si="11">IMSUM(COMPLEX(1,0),IMDIV(COMPLEX(0,2*PI()*O7),COMPLEX(wp_lf_DCM,0)))</f>
        <v>1-11.6772998933933i</v>
      </c>
      <c r="AH7" s="51">
        <f>IMABS(AG7)</f>
        <v>11.720039795164658</v>
      </c>
      <c r="AI7" s="51">
        <f>IMARGUMENT(AG7)</f>
        <v>-1.4853685149098794</v>
      </c>
      <c r="AJ7" s="51" t="str">
        <f t="shared" ref="AJ7:AJ13" si="12">IMSUM(COMPLEX(1,0),IMDIV(COMPLEX(0,2*PI()*O7),COMPLEX(wz1_dcm,0)))</f>
        <v>1+0.0389243329779776i</v>
      </c>
      <c r="AK7" s="51">
        <f>IMABS(AJ7)</f>
        <v>1.0007572651236565</v>
      </c>
      <c r="AL7" s="51">
        <f>IMARGUMENT(AJ7)</f>
        <v>3.8904692695517669E-2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0.640250045787569+1.16598486953707i</v>
      </c>
      <c r="BG7" s="91">
        <f t="shared" ref="BG7:BG13" si="28">20*LOG(IMABS(BF7))</f>
        <v>2.4783604618138435</v>
      </c>
      <c r="BH7" s="92">
        <f t="shared" ref="BH7:BH13" si="29">(180/PI())*IMARGUMENT(BF7)</f>
        <v>61.228518722529685</v>
      </c>
      <c r="BI7" s="86" t="e">
        <f>IMPRODUCT(AP7,BC7)</f>
        <v>#NUM!</v>
      </c>
      <c r="BJ7" s="91" t="e">
        <f t="shared" ref="BJ7:BJ13" si="30">20*LOG(IMABS(BI7))</f>
        <v>#NUM!</v>
      </c>
      <c r="BK7" s="92" t="e">
        <f t="shared" ref="BK7:BK13" si="31">(180/PI())*IMARGUMENT(BI7)</f>
        <v>#NUM!</v>
      </c>
      <c r="BL7" s="32">
        <f>IF($B$31=0,BJ7,BG7)</f>
        <v>2.4783604618138435</v>
      </c>
      <c r="BM7" s="32">
        <f>IF($B$31=0,BK7,BH7)</f>
        <v>61.228518722529685</v>
      </c>
    </row>
    <row r="8" spans="1:65" s="32" customFormat="1" ht="15" thickBot="1" x14ac:dyDescent="0.35">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1+8.34092849528092i</v>
      </c>
      <c r="R8" s="89">
        <f t="shared" si="0"/>
        <v>8.400659983798251</v>
      </c>
      <c r="S8" s="89">
        <f t="shared" si="1"/>
        <v>1.4514751217472168</v>
      </c>
      <c r="T8" s="89" t="str">
        <f t="shared" ref="T8:T13" si="34">IMSUM(COMPLEX(1,0),IMDIV(COMPLEX(0,2*PI()*O8),COMPLEX(wz_esr,0)))</f>
        <v>1+0.0389243329779776i</v>
      </c>
      <c r="U8" s="89">
        <f t="shared" si="2"/>
        <v>1.0007572651236565</v>
      </c>
      <c r="V8" s="89">
        <f t="shared" si="3"/>
        <v>3.8904692695517669E-2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0.216961299688923-2.77081330495021i</v>
      </c>
      <c r="AD8" s="91">
        <f t="shared" si="9"/>
        <v>8.8786917301433679</v>
      </c>
      <c r="AE8" s="92">
        <f t="shared" si="10"/>
        <v>-85.522739126540088</v>
      </c>
      <c r="AF8" s="51" t="e">
        <f t="shared" ref="AF8:AF13" si="37">COMPLEX($B$68,0)</f>
        <v>#NUM!</v>
      </c>
      <c r="AG8" s="51" t="str">
        <f t="shared" si="11"/>
        <v>1-11.6772998933933i</v>
      </c>
      <c r="AH8" s="51">
        <f t="shared" ref="AH8:AH13" si="38">IMABS(AG8)</f>
        <v>11.720039795164658</v>
      </c>
      <c r="AI8" s="51">
        <f t="shared" ref="AI8:AI13" si="39">IMARGUMENT(AG8)</f>
        <v>-1.4853685149098794</v>
      </c>
      <c r="AJ8" s="51" t="str">
        <f t="shared" si="12"/>
        <v>1+0.0389243329779776i</v>
      </c>
      <c r="AK8" s="51">
        <f t="shared" ref="AK8:AK13" si="40">IMABS(AJ8)</f>
        <v>1.0007572651236565</v>
      </c>
      <c r="AL8" s="51">
        <f t="shared" ref="AL8:AL13" si="41">IMARGUMENT(AJ8)</f>
        <v>3.8904692695517669E-2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0.741156404143539+1.82613532306738i</v>
      </c>
      <c r="BG8" s="91">
        <f t="shared" si="28"/>
        <v>5.8928850564130411</v>
      </c>
      <c r="BH8" s="92">
        <f t="shared" si="29"/>
        <v>67.909703960005103</v>
      </c>
      <c r="BI8" s="86" t="e">
        <f t="shared" ref="BI8:BI13" si="47">IMPRODUCT(AP8,BC8)</f>
        <v>#NUM!</v>
      </c>
      <c r="BJ8" s="91" t="e">
        <f t="shared" si="30"/>
        <v>#NUM!</v>
      </c>
      <c r="BK8" s="92" t="e">
        <f t="shared" si="31"/>
        <v>#NUM!</v>
      </c>
      <c r="BL8" s="32">
        <f t="shared" ref="BL8:BL13" si="48">IF($B$31=0,BJ8,BG8)</f>
        <v>5.8928850564130411</v>
      </c>
      <c r="BM8" s="32">
        <f t="shared" ref="BM8:BM13" si="49">IF($B$31=0,BK8,BH8)</f>
        <v>67.909703960005103</v>
      </c>
    </row>
    <row r="9" spans="1:65" s="32" customFormat="1" ht="15" thickBot="1" x14ac:dyDescent="0.35">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1+155.162337662338i</v>
      </c>
      <c r="R9" s="75">
        <f t="shared" si="0"/>
        <v>155.16556006034779</v>
      </c>
      <c r="S9" s="75">
        <f t="shared" si="1"/>
        <v>1.5643515530824654</v>
      </c>
      <c r="T9" s="75" t="str">
        <f t="shared" si="34"/>
        <v>1+0.724090909090909i</v>
      </c>
      <c r="U9" s="75">
        <f t="shared" si="2"/>
        <v>1.2346285452021994</v>
      </c>
      <c r="V9" s="75">
        <f t="shared" si="3"/>
        <v>0.62671205383359785</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-0.137754893883832-0.194889664696945i</v>
      </c>
      <c r="AD9" s="78">
        <f t="shared" si="9"/>
        <v>-12.444422783398398</v>
      </c>
      <c r="AE9" s="79">
        <f t="shared" si="10"/>
        <v>-125.25401839518214</v>
      </c>
      <c r="AF9" s="51" t="e">
        <f t="shared" si="37"/>
        <v>#NUM!</v>
      </c>
      <c r="AG9" s="51" t="str">
        <f t="shared" si="11"/>
        <v>1-217.227272727273i</v>
      </c>
      <c r="AH9" s="51">
        <f t="shared" si="38"/>
        <v>217.22957445184358</v>
      </c>
      <c r="AI9" s="51">
        <f t="shared" si="39"/>
        <v>-1.5661928857833447</v>
      </c>
      <c r="AJ9" s="51" t="str">
        <f t="shared" si="12"/>
        <v>1+0.724090909090909i</v>
      </c>
      <c r="AK9" s="51">
        <f t="shared" si="40"/>
        <v>1.2346285452021994</v>
      </c>
      <c r="AL9" s="51">
        <f t="shared" si="41"/>
        <v>0.62671205383359785</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0.0449848976118167-0.0158007154575284i</v>
      </c>
      <c r="BG9" s="78">
        <f t="shared" si="28"/>
        <v>-26.433425560905953</v>
      </c>
      <c r="BH9" s="79">
        <f t="shared" si="29"/>
        <v>-19.353564521516564</v>
      </c>
      <c r="BI9" s="86" t="e">
        <f t="shared" si="47"/>
        <v>#NUM!</v>
      </c>
      <c r="BJ9" s="78" t="e">
        <f t="shared" si="30"/>
        <v>#NUM!</v>
      </c>
      <c r="BK9" s="79" t="e">
        <f t="shared" si="31"/>
        <v>#NUM!</v>
      </c>
      <c r="BL9" s="32">
        <f t="shared" si="48"/>
        <v>-26.433425560905953</v>
      </c>
      <c r="BM9" s="32">
        <f t="shared" si="49"/>
        <v>-19.353564521516564</v>
      </c>
    </row>
    <row r="10" spans="1:65" s="32" customFormat="1" ht="15" thickBot="1" x14ac:dyDescent="0.35">
      <c r="A10" s="32" t="s">
        <v>25</v>
      </c>
      <c r="B10" s="3">
        <f>VIN_min</f>
        <v>8</v>
      </c>
      <c r="C10" s="32" t="s">
        <v>10</v>
      </c>
      <c r="E10" s="32" t="s">
        <v>28</v>
      </c>
      <c r="N10" s="60" t="s">
        <v>216</v>
      </c>
      <c r="O10" s="94">
        <f>IF(B31=0,B72,wz_esr/(2*PI()))</f>
        <v>89918.046944573638</v>
      </c>
      <c r="P10" s="80" t="str">
        <f t="shared" si="32"/>
        <v>23.3035714285714</v>
      </c>
      <c r="Q10" s="81" t="str">
        <f t="shared" si="33"/>
        <v>1+214.285714285714i</v>
      </c>
      <c r="R10" s="81">
        <f t="shared" si="0"/>
        <v>214.28804760634375</v>
      </c>
      <c r="S10" s="81">
        <f t="shared" si="1"/>
        <v>1.5661296940043306</v>
      </c>
      <c r="T10" s="81" t="str">
        <f t="shared" si="34"/>
        <v>1+i</v>
      </c>
      <c r="U10" s="81">
        <f t="shared" si="2"/>
        <v>1.4142135623730951</v>
      </c>
      <c r="V10" s="81">
        <f t="shared" si="3"/>
        <v>0.78539816339744828</v>
      </c>
      <c r="W10" s="51" t="str">
        <f t="shared" si="35"/>
        <v>1-1.38104205900816i</v>
      </c>
      <c r="X10" s="81">
        <f t="shared" si="4"/>
        <v>1.7050739481762947</v>
      </c>
      <c r="Y10" s="81">
        <f t="shared" si="5"/>
        <v>-0.94408427296129849</v>
      </c>
      <c r="Z10" s="51" t="str">
        <f t="shared" si="36"/>
        <v>0.967658979334694+0.677810734463276i</v>
      </c>
      <c r="AA10" s="81">
        <f t="shared" si="6"/>
        <v>1.1814361142443155</v>
      </c>
      <c r="AB10" s="81">
        <f t="shared" si="7"/>
        <v>0.6110376214570713</v>
      </c>
      <c r="AC10" s="68" t="str">
        <f t="shared" si="8"/>
        <v>-0.153723873907453-0.160108437996527i</v>
      </c>
      <c r="AD10" s="66">
        <f t="shared" si="9"/>
        <v>-13.074549777739355</v>
      </c>
      <c r="AE10" s="63">
        <f t="shared" si="10"/>
        <v>-133.83454281512519</v>
      </c>
      <c r="AF10" s="51" t="e">
        <f t="shared" si="37"/>
        <v>#NUM!</v>
      </c>
      <c r="AG10" s="51" t="str">
        <f t="shared" si="11"/>
        <v>1-300.000000000001i</v>
      </c>
      <c r="AH10" s="51">
        <f t="shared" si="38"/>
        <v>300.00166666203808</v>
      </c>
      <c r="AI10" s="51">
        <f t="shared" si="39"/>
        <v>-1.5674630058071599</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0.0214689265536723i</v>
      </c>
      <c r="AU10" s="51">
        <f t="shared" si="16"/>
        <v>2.1468926553672298E-2</v>
      </c>
      <c r="AV10" s="51">
        <f t="shared" si="17"/>
        <v>1.5707963267948966</v>
      </c>
      <c r="AW10" s="51" t="str">
        <f t="shared" si="18"/>
        <v>1+4.57091882247992i</v>
      </c>
      <c r="AX10" s="51">
        <f t="shared" si="19"/>
        <v>4.6790275572709783</v>
      </c>
      <c r="AY10" s="51">
        <f t="shared" si="20"/>
        <v>1.3554153462427549</v>
      </c>
      <c r="AZ10" s="51" t="str">
        <f t="shared" si="21"/>
        <v>1+86.8474576271186i</v>
      </c>
      <c r="BA10" s="51">
        <f t="shared" si="22"/>
        <v>86.853214657225905</v>
      </c>
      <c r="BB10" s="51">
        <f t="shared" si="23"/>
        <v>1.5592823937827758</v>
      </c>
      <c r="BC10" s="60" t="str">
        <f t="shared" si="24"/>
        <v>-0.029886059767637+0.144559256330895i</v>
      </c>
      <c r="BD10" s="51">
        <f t="shared" si="25"/>
        <v>-16.617317050643305</v>
      </c>
      <c r="BE10" s="63">
        <f t="shared" si="26"/>
        <v>101.68072140583605</v>
      </c>
      <c r="BF10" s="60" t="str">
        <f t="shared" si="27"/>
        <v>0.02773935761239-0.0174371985450985i</v>
      </c>
      <c r="BG10" s="66">
        <f t="shared" si="28"/>
        <v>-29.691866828382651</v>
      </c>
      <c r="BH10" s="63">
        <f t="shared" si="29"/>
        <v>-32.153821409289165</v>
      </c>
      <c r="BI10" s="86" t="e">
        <f t="shared" si="47"/>
        <v>#NUM!</v>
      </c>
      <c r="BJ10" s="66" t="e">
        <f t="shared" si="30"/>
        <v>#NUM!</v>
      </c>
      <c r="BK10" s="63" t="e">
        <f t="shared" si="31"/>
        <v>#NUM!</v>
      </c>
      <c r="BL10" s="32">
        <f t="shared" si="48"/>
        <v>-29.691866828382651</v>
      </c>
      <c r="BM10" s="32">
        <f t="shared" si="49"/>
        <v>-32.153821409289165</v>
      </c>
    </row>
    <row r="11" spans="1:65" s="32" customFormat="1" ht="15" thickBot="1" x14ac:dyDescent="0.35">
      <c r="A11" s="32" t="s">
        <v>26</v>
      </c>
      <c r="B11" s="3">
        <f>VIN_nom</f>
        <v>14.8</v>
      </c>
      <c r="C11" s="32" t="s">
        <v>10</v>
      </c>
      <c r="E11" s="32" t="s">
        <v>29</v>
      </c>
      <c r="N11" s="64" t="s">
        <v>214</v>
      </c>
      <c r="O11" s="95">
        <f>IF(B31=0,B70,wp_lf/(2*PI()))</f>
        <v>419.61755240801034</v>
      </c>
      <c r="P11" s="82" t="str">
        <f t="shared" si="32"/>
        <v>23.3035714285714</v>
      </c>
      <c r="Q11" s="56" t="str">
        <f t="shared" si="33"/>
        <v>1+i</v>
      </c>
      <c r="R11" s="56">
        <f t="shared" si="0"/>
        <v>1.4142135623730951</v>
      </c>
      <c r="S11" s="56">
        <f t="shared" si="1"/>
        <v>0.78539816339744828</v>
      </c>
      <c r="T11" s="56" t="str">
        <f t="shared" si="34"/>
        <v>1+0.00466666666666667i</v>
      </c>
      <c r="U11" s="56">
        <f t="shared" si="2"/>
        <v>1.0000108888296055</v>
      </c>
      <c r="V11" s="56">
        <f t="shared" si="3"/>
        <v>4.6666327905661061E-3</v>
      </c>
      <c r="W11" s="57" t="str">
        <f t="shared" si="35"/>
        <v>1-0.00644486294203808i</v>
      </c>
      <c r="X11" s="56">
        <f t="shared" si="4"/>
        <v>1.0000207679135178</v>
      </c>
      <c r="Y11" s="56">
        <f t="shared" si="5"/>
        <v>-6.4447737124311158E-3</v>
      </c>
      <c r="Z11" s="57" t="str">
        <f t="shared" si="36"/>
        <v>0.999999295684439+0.00316311676082862i</v>
      </c>
      <c r="AA11" s="56">
        <f t="shared" si="6"/>
        <v>1.0000042983292705</v>
      </c>
      <c r="AB11" s="56">
        <f t="shared" si="7"/>
        <v>3.1631084393848167E-3</v>
      </c>
      <c r="AC11" s="61" t="str">
        <f t="shared" si="8"/>
        <v>11.5943865220697-11.709537961216i</v>
      </c>
      <c r="AD11" s="67">
        <f t="shared" si="9"/>
        <v>24.338387366577727</v>
      </c>
      <c r="AE11" s="65">
        <f t="shared" si="10"/>
        <v>-45.283112733921442</v>
      </c>
      <c r="AF11" s="51" t="e">
        <f t="shared" si="37"/>
        <v>#NUM!</v>
      </c>
      <c r="AG11" s="51" t="str">
        <f t="shared" si="11"/>
        <v>1-1.4i</v>
      </c>
      <c r="AH11" s="51">
        <f t="shared" si="38"/>
        <v>1.7204650534085253</v>
      </c>
      <c r="AI11" s="51">
        <f t="shared" si="39"/>
        <v>-0.95054684081207508</v>
      </c>
      <c r="AJ11" s="51" t="str">
        <f t="shared" si="12"/>
        <v>1+0.00466666666666667i</v>
      </c>
      <c r="AK11" s="51">
        <f t="shared" si="40"/>
        <v>1.0000108888296055</v>
      </c>
      <c r="AL11" s="51">
        <f t="shared" si="41"/>
        <v>4.6666327905661061E-3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0.000100188323917137i</v>
      </c>
      <c r="AU11" s="57">
        <f t="shared" si="16"/>
        <v>1.0018832391713701E-4</v>
      </c>
      <c r="AV11" s="57">
        <f t="shared" si="17"/>
        <v>1.5707963267948966</v>
      </c>
      <c r="AW11" s="57" t="str">
        <f t="shared" si="18"/>
        <v>1+0.0213309545049063i</v>
      </c>
      <c r="AX11" s="57">
        <f t="shared" si="19"/>
        <v>1.0002274789367118</v>
      </c>
      <c r="AY11" s="57">
        <f t="shared" si="20"/>
        <v>2.132772012469638E-2</v>
      </c>
      <c r="AZ11" s="57" t="str">
        <f t="shared" si="21"/>
        <v>1+0.40528813559322i</v>
      </c>
      <c r="BA11" s="57">
        <f t="shared" si="22"/>
        <v>1.0790080967502647</v>
      </c>
      <c r="BB11" s="57">
        <f t="shared" si="23"/>
        <v>0.38505678558071038</v>
      </c>
      <c r="BC11" s="64" t="str">
        <f t="shared" si="24"/>
        <v>-0.654006859476599+1.7180584211174i</v>
      </c>
      <c r="BD11" s="57">
        <f t="shared" si="25"/>
        <v>5.2884598811788521</v>
      </c>
      <c r="BE11" s="65">
        <f t="shared" si="26"/>
        <v>110.84014033686712</v>
      </c>
      <c r="BF11" s="64" t="str">
        <f t="shared" si="27"/>
        <v>12.5348619848044+27.5779515498688i</v>
      </c>
      <c r="BG11" s="67">
        <f t="shared" si="28"/>
        <v>29.626847247756572</v>
      </c>
      <c r="BH11" s="65">
        <f t="shared" si="29"/>
        <v>65.557027602945681</v>
      </c>
      <c r="BI11" s="86" t="e">
        <f t="shared" si="47"/>
        <v>#NUM!</v>
      </c>
      <c r="BJ11" s="67" t="e">
        <f t="shared" si="30"/>
        <v>#NUM!</v>
      </c>
      <c r="BK11" s="65" t="e">
        <f t="shared" si="31"/>
        <v>#NUM!</v>
      </c>
      <c r="BL11" s="32">
        <f t="shared" si="48"/>
        <v>29.626847247756572</v>
      </c>
      <c r="BM11" s="32">
        <f t="shared" si="49"/>
        <v>65.557027602945681</v>
      </c>
    </row>
    <row r="12" spans="1:65" s="32" customFormat="1" ht="15" thickBot="1" x14ac:dyDescent="0.35">
      <c r="A12" s="32" t="s">
        <v>27</v>
      </c>
      <c r="B12" s="3">
        <f>VIN_max</f>
        <v>18</v>
      </c>
      <c r="C12" s="32" t="s">
        <v>10</v>
      </c>
      <c r="E12" s="32" t="s">
        <v>30</v>
      </c>
      <c r="N12" s="73" t="s">
        <v>224</v>
      </c>
      <c r="O12" s="79">
        <f>wz_ea/(2*PI())</f>
        <v>1035.3561221174559</v>
      </c>
      <c r="P12" s="74" t="str">
        <f t="shared" si="32"/>
        <v>23.3035714285714</v>
      </c>
      <c r="Q12" s="75" t="str">
        <f t="shared" si="33"/>
        <v>1+2.46738039478086i</v>
      </c>
      <c r="R12" s="75">
        <f t="shared" si="0"/>
        <v>2.6623234237314128</v>
      </c>
      <c r="S12" s="75">
        <f t="shared" si="1"/>
        <v>1.1857395412141856</v>
      </c>
      <c r="T12" s="75" t="str">
        <f t="shared" si="34"/>
        <v>1+0.0115144418423107i</v>
      </c>
      <c r="U12" s="75">
        <f t="shared" si="2"/>
        <v>1.0000662889883549</v>
      </c>
      <c r="V12" s="75">
        <f t="shared" si="3"/>
        <v>1.1513933012120734E-2</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3.18915828801906-8.15300407612443i</v>
      </c>
      <c r="AD12" s="78">
        <f t="shared" si="9"/>
        <v>18.844679968812407</v>
      </c>
      <c r="AE12" s="79">
        <f t="shared" si="10"/>
        <v>-68.636372329884949</v>
      </c>
      <c r="AF12" s="51" t="e">
        <f t="shared" si="37"/>
        <v>#NUM!</v>
      </c>
      <c r="AG12" s="51" t="str">
        <f t="shared" si="11"/>
        <v>1-3.45433255269322i</v>
      </c>
      <c r="AH12" s="51">
        <f t="shared" si="38"/>
        <v>3.5961664845493533</v>
      </c>
      <c r="AI12" s="51">
        <f t="shared" si="39"/>
        <v>-1.2890079978032727</v>
      </c>
      <c r="AJ12" s="51" t="str">
        <f t="shared" si="12"/>
        <v>1+0.0115144418423107i</v>
      </c>
      <c r="AK12" s="51">
        <f t="shared" si="40"/>
        <v>1.0000662889883549</v>
      </c>
      <c r="AL12" s="51">
        <f t="shared" si="41"/>
        <v>1.1513933012120734E-2</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3.82998437559419+7.63193945540065i</v>
      </c>
      <c r="BG12" s="78">
        <f t="shared" si="28"/>
        <v>18.628185488577568</v>
      </c>
      <c r="BH12" s="79">
        <f t="shared" si="29"/>
        <v>63.350840165931707</v>
      </c>
      <c r="BI12" s="86" t="e">
        <f t="shared" si="47"/>
        <v>#NUM!</v>
      </c>
      <c r="BJ12" s="78" t="e">
        <f t="shared" si="30"/>
        <v>#NUM!</v>
      </c>
      <c r="BK12" s="79" t="e">
        <f t="shared" si="31"/>
        <v>#NUM!</v>
      </c>
      <c r="BL12" s="32">
        <f t="shared" si="48"/>
        <v>18.628185488577568</v>
      </c>
      <c r="BM12" s="32">
        <f t="shared" si="49"/>
        <v>63.350840165931707</v>
      </c>
    </row>
    <row r="13" spans="1:65" s="32" customFormat="1" ht="15" thickBot="1" x14ac:dyDescent="0.35">
      <c r="A13" s="32" t="s">
        <v>66</v>
      </c>
      <c r="B13" s="3">
        <f>Fsw</f>
        <v>1000000</v>
      </c>
      <c r="C13" s="32" t="s">
        <v>67</v>
      </c>
      <c r="E13" s="32" t="s">
        <v>68</v>
      </c>
      <c r="N13" s="64" t="s">
        <v>230</v>
      </c>
      <c r="O13" s="65">
        <f>wp1_ea/(2*PI())</f>
        <v>19671.766320231662</v>
      </c>
      <c r="P13" s="82" t="str">
        <f t="shared" si="32"/>
        <v>23.3035714285714</v>
      </c>
      <c r="Q13" s="56" t="str">
        <f t="shared" si="33"/>
        <v>1+46.8802275008365i</v>
      </c>
      <c r="R13" s="56">
        <f t="shared" si="0"/>
        <v>46.890891765141198</v>
      </c>
      <c r="S13" s="56">
        <f t="shared" si="1"/>
        <v>1.5494686066702001</v>
      </c>
      <c r="T13" s="56" t="str">
        <f t="shared" si="34"/>
        <v>1+0.218774395003904i</v>
      </c>
      <c r="U13" s="56">
        <f t="shared" si="2"/>
        <v>1.0236514230485514</v>
      </c>
      <c r="V13" s="56">
        <f t="shared" si="3"/>
        <v>0.21538098055214197</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-0.106736429576822-0.515557624435587i</v>
      </c>
      <c r="AD13" s="67">
        <f t="shared" si="9"/>
        <v>-5.5721879172436175</v>
      </c>
      <c r="AE13" s="65">
        <f t="shared" si="10"/>
        <v>-101.69675811154841</v>
      </c>
      <c r="AF13" s="51" t="e">
        <f t="shared" si="37"/>
        <v>#NUM!</v>
      </c>
      <c r="AG13" s="51" t="str">
        <f t="shared" si="11"/>
        <v>1-65.6323185011712i</v>
      </c>
      <c r="AH13" s="51">
        <f t="shared" si="38"/>
        <v>65.639936257123054</v>
      </c>
      <c r="AI13" s="51">
        <f t="shared" si="39"/>
        <v>-1.5555611095875319</v>
      </c>
      <c r="AJ13" s="51" t="str">
        <f t="shared" si="12"/>
        <v>1+0.218774395003904i</v>
      </c>
      <c r="AK13" s="51">
        <f t="shared" si="40"/>
        <v>1.0236514230485514</v>
      </c>
      <c r="AL13" s="51">
        <f t="shared" si="41"/>
        <v>0.21538098055214197</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0.222325527704658+0.129866865717201i</v>
      </c>
      <c r="BG13" s="67">
        <f t="shared" si="28"/>
        <v>-11.785254938207903</v>
      </c>
      <c r="BH13" s="65">
        <f t="shared" si="29"/>
        <v>30.290454384268223</v>
      </c>
      <c r="BI13" s="86" t="e">
        <f t="shared" si="47"/>
        <v>#NUM!</v>
      </c>
      <c r="BJ13" s="67" t="e">
        <f t="shared" si="30"/>
        <v>#NUM!</v>
      </c>
      <c r="BK13" s="65" t="e">
        <f t="shared" si="31"/>
        <v>#NUM!</v>
      </c>
      <c r="BL13" s="32">
        <f t="shared" si="48"/>
        <v>-11.785254938207903</v>
      </c>
      <c r="BM13" s="32">
        <f t="shared" si="49"/>
        <v>30.290454384268223</v>
      </c>
    </row>
    <row r="14" spans="1:65" s="32" customFormat="1" x14ac:dyDescent="0.3">
      <c r="B14" s="27"/>
      <c r="O14" s="52"/>
    </row>
    <row r="15" spans="1:65" ht="15" thickBot="1" x14ac:dyDescent="0.35">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18</v>
      </c>
      <c r="C16" t="s">
        <v>10</v>
      </c>
      <c r="E16" t="s">
        <v>196</v>
      </c>
      <c r="F16" s="32"/>
      <c r="G16" s="32"/>
      <c r="N16" s="32"/>
      <c r="O16" s="69"/>
      <c r="P16" s="247" t="s">
        <v>471</v>
      </c>
      <c r="Q16" s="247"/>
      <c r="R16" s="247"/>
      <c r="S16" s="247"/>
      <c r="T16" s="247"/>
      <c r="U16" s="247"/>
      <c r="V16" s="247"/>
      <c r="W16" s="247"/>
      <c r="X16" s="247"/>
      <c r="Y16" s="247"/>
      <c r="Z16" s="247"/>
      <c r="AA16" s="247"/>
      <c r="AB16" s="247"/>
      <c r="AC16" s="247"/>
      <c r="AD16" s="247"/>
      <c r="AE16" s="246"/>
      <c r="AF16" s="245" t="s">
        <v>472</v>
      </c>
      <c r="AG16" s="247"/>
      <c r="AH16" s="247"/>
      <c r="AI16" s="247"/>
      <c r="AJ16" s="247"/>
      <c r="AK16" s="247"/>
      <c r="AL16" s="247"/>
      <c r="AM16" s="247"/>
      <c r="AN16" s="247"/>
      <c r="AO16" s="247"/>
      <c r="AP16" s="247"/>
      <c r="AQ16" s="247"/>
      <c r="AR16" s="246"/>
      <c r="AS16" s="245" t="s">
        <v>223</v>
      </c>
      <c r="AT16" s="247"/>
      <c r="AU16" s="247"/>
      <c r="AV16" s="247"/>
      <c r="AW16" s="247"/>
      <c r="AX16" s="247"/>
      <c r="AY16" s="247"/>
      <c r="AZ16" s="247"/>
      <c r="BA16" s="247"/>
      <c r="BB16" s="247"/>
      <c r="BC16" s="247"/>
      <c r="BD16" s="247"/>
      <c r="BE16" s="246"/>
      <c r="BF16" s="245" t="s">
        <v>506</v>
      </c>
      <c r="BG16" s="247"/>
      <c r="BH16" s="246"/>
      <c r="BI16" s="245" t="s">
        <v>507</v>
      </c>
      <c r="BJ16" s="247"/>
      <c r="BK16" s="246"/>
      <c r="BL16" s="245" t="s">
        <v>508</v>
      </c>
      <c r="BM16" s="246"/>
    </row>
    <row r="17" spans="1:65" x14ac:dyDescent="0.3">
      <c r="A17" t="s">
        <v>389</v>
      </c>
      <c r="B17">
        <f>IOUT</f>
        <v>8</v>
      </c>
      <c r="C17" t="s">
        <v>11</v>
      </c>
      <c r="E17" t="s">
        <v>498</v>
      </c>
      <c r="N17" s="32"/>
      <c r="O17" s="54"/>
      <c r="P17" s="51"/>
      <c r="Q17" s="251" t="s">
        <v>214</v>
      </c>
      <c r="R17" s="251"/>
      <c r="S17" s="251"/>
      <c r="T17" s="249" t="s">
        <v>216</v>
      </c>
      <c r="U17" s="249"/>
      <c r="V17" s="249"/>
      <c r="W17" s="249" t="s">
        <v>258</v>
      </c>
      <c r="X17" s="249"/>
      <c r="Y17" s="249"/>
      <c r="Z17" s="249" t="s">
        <v>219</v>
      </c>
      <c r="AA17" s="249"/>
      <c r="AB17" s="249"/>
      <c r="AC17" s="248" t="s">
        <v>221</v>
      </c>
      <c r="AD17" s="249"/>
      <c r="AE17" s="250"/>
      <c r="AF17" s="217"/>
      <c r="AG17" s="251" t="s">
        <v>214</v>
      </c>
      <c r="AH17" s="251"/>
      <c r="AI17" s="251"/>
      <c r="AJ17" s="252" t="s">
        <v>216</v>
      </c>
      <c r="AK17" s="252"/>
      <c r="AL17" s="252"/>
      <c r="AM17" s="249" t="s">
        <v>258</v>
      </c>
      <c r="AN17" s="249"/>
      <c r="AO17" s="249"/>
      <c r="AP17" s="253" t="s">
        <v>221</v>
      </c>
      <c r="AQ17" s="252"/>
      <c r="AR17" s="254"/>
      <c r="AS17" s="51"/>
      <c r="AT17" s="249" t="s">
        <v>229</v>
      </c>
      <c r="AU17" s="249"/>
      <c r="AV17" s="249"/>
      <c r="AW17" s="249" t="s">
        <v>230</v>
      </c>
      <c r="AX17" s="249"/>
      <c r="AY17" s="249"/>
      <c r="AZ17" s="249" t="s">
        <v>224</v>
      </c>
      <c r="BA17" s="249"/>
      <c r="BB17" s="249"/>
      <c r="BC17" s="248" t="s">
        <v>221</v>
      </c>
      <c r="BD17" s="249"/>
      <c r="BE17" s="250"/>
      <c r="BF17" s="248" t="s">
        <v>221</v>
      </c>
      <c r="BG17" s="249"/>
      <c r="BH17" s="250"/>
      <c r="BI17" s="248" t="s">
        <v>221</v>
      </c>
      <c r="BJ17" s="249"/>
      <c r="BK17" s="250"/>
      <c r="BL17" s="51"/>
      <c r="BM17" s="63"/>
    </row>
    <row r="18" spans="1:65" ht="15" thickBot="1" x14ac:dyDescent="0.35">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1+0.0243863247952452i</v>
      </c>
      <c r="R19" s="18">
        <f>IMABS(Q19)</f>
        <v>1.0002973022242034</v>
      </c>
      <c r="S19" s="18">
        <f>IMARGUMENT(Q19)</f>
        <v>2.4381492395178617E-2</v>
      </c>
      <c r="T19" s="18" t="str">
        <f t="shared" ref="T19:T82" si="52">IMSUM(COMPLEX(1,0),IMDIV(COMPLEX(0,2*PI()*O19),COMPLEX(wz_esr,0)))</f>
        <v>1+0.000113802849044477i</v>
      </c>
      <c r="U19" s="18">
        <f>IMABS(T19)</f>
        <v>1.0000000064755441</v>
      </c>
      <c r="V19" s="18">
        <f>IMARGUMENT(T19)</f>
        <v>1.1380284855318675E-4</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23.2896529697107-0.570757132889633i</v>
      </c>
      <c r="AD19" s="66">
        <f>20*LOG(IMABS(AC19))</f>
        <v>27.345867884163688</v>
      </c>
      <c r="AE19" s="63">
        <f>(180/PI())*IMARGUMENT(AC19)</f>
        <v>-1.4038607804729846</v>
      </c>
      <c r="AF19" s="51" t="e">
        <f>COMPLEX($B$68,0)</f>
        <v>#NUM!</v>
      </c>
      <c r="AG19" s="51" t="str">
        <f t="shared" ref="AG19:AG82" si="55">IMSUM(COMPLEX(1,0),IMDIV(COMPLEX(0,2*PI()*O19),COMPLEX(wp_lf_DCM,0)))</f>
        <v>1-0.0341408547133433i</v>
      </c>
      <c r="AH19" s="51">
        <f>IMABS(AG19)</f>
        <v>1.0005826292518563</v>
      </c>
      <c r="AI19" s="51">
        <f>IMARGUMENT(AG19)</f>
        <v>-3.4127599145631536E-2</v>
      </c>
      <c r="AJ19" s="51" t="str">
        <f t="shared" ref="AJ19:AJ82" si="56">IMSUM(COMPLEX(1,0),IMDIV(COMPLEX(0,2*PI()*O19),COMPLEX(wz1_dcm,0)))</f>
        <v>1+0.000113802849044477i</v>
      </c>
      <c r="AK19" s="51">
        <f>IMABS(AJ19)</f>
        <v>1.0000000064755441</v>
      </c>
      <c r="AL19" s="51">
        <f>IMARGUMENT(AJ19)</f>
        <v>1.1380284855318675E-4</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24.6459834926903+1627.8541633622i</v>
      </c>
      <c r="BG19" s="66">
        <f>20*LOG(IMABS(BF19))</f>
        <v>64.233305288018542</v>
      </c>
      <c r="BH19" s="63">
        <f>(180/PI())*IMARGUMENT(BF19)</f>
        <v>89.132598616125094</v>
      </c>
      <c r="BI19" s="60" t="e">
        <f>IMPRODUCT(AP19,BC19)</f>
        <v>#NUM!</v>
      </c>
      <c r="BJ19" s="66" t="e">
        <f>20*LOG(IMABS(BI19))</f>
        <v>#NUM!</v>
      </c>
      <c r="BK19" s="63" t="e">
        <f>(180/PI())*IMARGUMENT(BI19)</f>
        <v>#NUM!</v>
      </c>
      <c r="BL19" s="51">
        <f>IF($B$31=0,BJ19,BG19)</f>
        <v>64.233305288018542</v>
      </c>
      <c r="BM19" s="63">
        <f>IF($B$31=0,BK19,BH19)</f>
        <v>89.132598616125094</v>
      </c>
    </row>
    <row r="20" spans="1:65" x14ac:dyDescent="0.3">
      <c r="A20" t="s">
        <v>33</v>
      </c>
      <c r="B20" s="45">
        <f>IOUT</f>
        <v>8</v>
      </c>
      <c r="C20" t="s">
        <v>11</v>
      </c>
      <c r="E20" t="s">
        <v>34</v>
      </c>
      <c r="N20" s="11">
        <v>2</v>
      </c>
      <c r="O20" s="52">
        <f t="shared" ref="O20:O83" si="62">10^(1+(N20/100))</f>
        <v>10.471285480509</v>
      </c>
      <c r="P20" s="50" t="str">
        <f t="shared" si="50"/>
        <v>23.3035714285714</v>
      </c>
      <c r="Q20" s="18" t="str">
        <f t="shared" si="51"/>
        <v>1+0.0249543552704568i</v>
      </c>
      <c r="R20" s="18">
        <f t="shared" ref="R20:R83" si="63">IMABS(Q20)</f>
        <v>1.0003113114660676</v>
      </c>
      <c r="S20" s="18">
        <f t="shared" ref="S20:S83" si="64">IMARGUMENT(Q20)</f>
        <v>2.4949177347524682E-2</v>
      </c>
      <c r="T20" s="18" t="str">
        <f t="shared" si="52"/>
        <v>1+0.000116453657928798i</v>
      </c>
      <c r="U20" s="18">
        <f t="shared" ref="U20:U83" si="65">IMABS(T20)</f>
        <v>1.0000000067807271</v>
      </c>
      <c r="V20" s="18">
        <f t="shared" ref="V20:V83" si="66">IMARGUMENT(T20)</f>
        <v>1.16453657402371E-4</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23.2889974211766-0.584035415590038i</v>
      </c>
      <c r="AD20" s="66">
        <f t="shared" ref="AD20:AD83" si="72">20*LOG(IMABS(AC20))</f>
        <v>27.345746245112764</v>
      </c>
      <c r="AE20" s="63">
        <f t="shared" ref="AE20:AE83" si="73">(180/PI())*IMARGUMENT(AC20)</f>
        <v>-1.436547551064854</v>
      </c>
      <c r="AF20" s="51" t="e">
        <f t="shared" ref="AF20:AF83" si="74">COMPLEX($B$68,0)</f>
        <v>#NUM!</v>
      </c>
      <c r="AG20" s="51" t="str">
        <f t="shared" si="55"/>
        <v>1-0.0349360973786396i</v>
      </c>
      <c r="AH20" s="51">
        <f t="shared" ref="AH20:AH83" si="75">IMABS(AG20)</f>
        <v>1.0006100793516173</v>
      </c>
      <c r="AI20" s="51">
        <f t="shared" ref="AI20:AI83" si="76">IMARGUMENT(AG20)</f>
        <v>-3.4921894249611764E-2</v>
      </c>
      <c r="AJ20" s="51" t="str">
        <f t="shared" si="56"/>
        <v>1+0.000116453657928798i</v>
      </c>
      <c r="AK20" s="51">
        <f t="shared" ref="AK20:AK83" si="77">IMABS(AJ20)</f>
        <v>1.0000000067807271</v>
      </c>
      <c r="AL20" s="51">
        <f t="shared" ref="AL20:AL83" si="78">IMARGUMENT(AJ20)</f>
        <v>1.16453657402371E-4</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24.6453046394648+1590.77246558806i</v>
      </c>
      <c r="BG20" s="66">
        <f t="shared" ref="BG20:BG83" si="94">20*LOG(IMABS(BF20))</f>
        <v>64.033203585086611</v>
      </c>
      <c r="BH20" s="63">
        <f t="shared" ref="BH20:BH83" si="95">(180/PI())*IMARGUMENT(BF20)</f>
        <v>89.112406701119227</v>
      </c>
      <c r="BI20" s="60" t="e">
        <f t="shared" ref="BI20:BI49" si="96">IMPRODUCT(AP20,BC20)</f>
        <v>#NUM!</v>
      </c>
      <c r="BJ20" s="66" t="e">
        <f t="shared" ref="BJ20:BJ83" si="97">20*LOG(IMABS(BI20))</f>
        <v>#NUM!</v>
      </c>
      <c r="BK20" s="63" t="e">
        <f t="shared" ref="BK20:BK49" si="98">(180/PI())*IMARGUMENT(BI20)</f>
        <v>#NUM!</v>
      </c>
      <c r="BL20" s="51">
        <f t="shared" ref="BL20:BL83" si="99">IF($B$31=0,BJ20,BG20)</f>
        <v>64.033203585086611</v>
      </c>
      <c r="BM20" s="63">
        <f t="shared" ref="BM20:BM83" si="100">IF($B$31=0,BK20,BH20)</f>
        <v>89.112406701119227</v>
      </c>
    </row>
    <row r="21" spans="1:65" s="32" customFormat="1" x14ac:dyDescent="0.3">
      <c r="A21"/>
      <c r="B21"/>
      <c r="C21"/>
      <c r="D21"/>
      <c r="E21"/>
      <c r="F21"/>
      <c r="G21"/>
      <c r="N21" s="11">
        <v>3</v>
      </c>
      <c r="O21" s="52">
        <f t="shared" si="62"/>
        <v>10.715193052376069</v>
      </c>
      <c r="P21" s="50" t="str">
        <f t="shared" si="50"/>
        <v>23.3035714285714</v>
      </c>
      <c r="Q21" s="18" t="str">
        <f t="shared" si="51"/>
        <v>1+0.0255356168751427i</v>
      </c>
      <c r="R21" s="18">
        <f t="shared" si="63"/>
        <v>1.0003259807328779</v>
      </c>
      <c r="S21" s="18">
        <f t="shared" si="64"/>
        <v>2.5530068728405009E-2</v>
      </c>
      <c r="T21" s="18" t="str">
        <f t="shared" si="52"/>
        <v>1+0.000119166212083999i</v>
      </c>
      <c r="U21" s="18">
        <f t="shared" si="65"/>
        <v>1.000000007100293</v>
      </c>
      <c r="V21" s="18">
        <f t="shared" si="66"/>
        <v>1.1916621151992231E-4</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23.2883110169508-0.597621820262628i</v>
      </c>
      <c r="AD21" s="66">
        <f t="shared" si="72"/>
        <v>27.345618877041797</v>
      </c>
      <c r="AE21" s="63">
        <f t="shared" si="73"/>
        <v>-1.4699947402234124</v>
      </c>
      <c r="AF21" s="51" t="e">
        <f t="shared" si="74"/>
        <v>#NUM!</v>
      </c>
      <c r="AG21" s="51" t="str">
        <f t="shared" si="55"/>
        <v>1-0.0357498636251999i</v>
      </c>
      <c r="AH21" s="51">
        <f t="shared" si="75"/>
        <v>1.000638822327627</v>
      </c>
      <c r="AI21" s="51">
        <f t="shared" si="76"/>
        <v>-3.5734645222952145E-2</v>
      </c>
      <c r="AJ21" s="51" t="str">
        <f t="shared" si="56"/>
        <v>1+0.000119166212083999i</v>
      </c>
      <c r="AK21" s="51">
        <f t="shared" si="77"/>
        <v>1.000000007100293</v>
      </c>
      <c r="AL21" s="51">
        <f t="shared" si="78"/>
        <v>1.1916621151992231E-4</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24.6445938336303+1554.53421802765i</v>
      </c>
      <c r="BG21" s="66">
        <f t="shared" si="94"/>
        <v>63.833097092596333</v>
      </c>
      <c r="BH21" s="63">
        <f t="shared" si="95"/>
        <v>89.091745346546247</v>
      </c>
      <c r="BI21" s="60" t="e">
        <f t="shared" si="96"/>
        <v>#NUM!</v>
      </c>
      <c r="BJ21" s="66" t="e">
        <f t="shared" si="97"/>
        <v>#NUM!</v>
      </c>
      <c r="BK21" s="63" t="e">
        <f t="shared" si="98"/>
        <v>#NUM!</v>
      </c>
      <c r="BL21" s="51">
        <f t="shared" si="99"/>
        <v>63.833097092596333</v>
      </c>
      <c r="BM21" s="63">
        <f t="shared" si="100"/>
        <v>89.091745346546247</v>
      </c>
    </row>
    <row r="22" spans="1:65" x14ac:dyDescent="0.3">
      <c r="A22" t="s">
        <v>168</v>
      </c>
      <c r="N22" s="11">
        <v>4</v>
      </c>
      <c r="O22" s="52">
        <f t="shared" si="62"/>
        <v>10.964781961431854</v>
      </c>
      <c r="P22" s="50" t="str">
        <f t="shared" si="50"/>
        <v>23.3035714285714</v>
      </c>
      <c r="Q22" s="18" t="str">
        <f t="shared" si="51"/>
        <v>1+0.0261304178018997i</v>
      </c>
      <c r="R22" s="18">
        <f t="shared" si="63"/>
        <v>1.0003413411103741</v>
      </c>
      <c r="S22" s="18">
        <f t="shared" si="64"/>
        <v>2.6124472965116888E-2</v>
      </c>
      <c r="T22" s="18" t="str">
        <f t="shared" si="52"/>
        <v>1+0.000121941949742199i</v>
      </c>
      <c r="U22" s="18">
        <f t="shared" si="65"/>
        <v>1.0000000074349196</v>
      </c>
      <c r="V22" s="18">
        <f t="shared" si="66"/>
        <v>1.2194194913777996E-4</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23.287592306643-0.611523440509156i</v>
      </c>
      <c r="AD22" s="66">
        <f t="shared" si="72"/>
        <v>27.345485510302545</v>
      </c>
      <c r="AE22" s="63">
        <f t="shared" si="73"/>
        <v>-1.5042199921938817</v>
      </c>
      <c r="AF22" s="51" t="e">
        <f t="shared" si="74"/>
        <v>#NUM!</v>
      </c>
      <c r="AG22" s="51" t="str">
        <f t="shared" si="55"/>
        <v>1-0.0365825849226597i</v>
      </c>
      <c r="AH22" s="51">
        <f t="shared" si="75"/>
        <v>1.0006689190334752</v>
      </c>
      <c r="AI22" s="51">
        <f t="shared" si="76"/>
        <v>-3.6566278699530379E-2</v>
      </c>
      <c r="AJ22" s="51" t="str">
        <f t="shared" si="56"/>
        <v>1+0.000121941949742199i</v>
      </c>
      <c r="AK22" s="51">
        <f t="shared" si="77"/>
        <v>1.0000000074349196</v>
      </c>
      <c r="AL22" s="51">
        <f t="shared" si="78"/>
        <v>1.2194194913777996E-4</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24.6438495732355+1519.12020679647i</v>
      </c>
      <c r="BG22" s="66">
        <f t="shared" si="94"/>
        <v>63.6329855851655</v>
      </c>
      <c r="BH22" s="63">
        <f t="shared" si="95"/>
        <v>89.070603681386345</v>
      </c>
      <c r="BI22" s="60" t="e">
        <f t="shared" si="96"/>
        <v>#NUM!</v>
      </c>
      <c r="BJ22" s="66" t="e">
        <f t="shared" si="97"/>
        <v>#NUM!</v>
      </c>
      <c r="BK22" s="63" t="e">
        <f t="shared" si="98"/>
        <v>#NUM!</v>
      </c>
      <c r="BL22" s="51">
        <f t="shared" si="99"/>
        <v>63.6329855851655</v>
      </c>
      <c r="BM22" s="63">
        <f t="shared" si="100"/>
        <v>89.070603681386345</v>
      </c>
    </row>
    <row r="23" spans="1:65" x14ac:dyDescent="0.3">
      <c r="A23" t="s">
        <v>169</v>
      </c>
      <c r="B23" s="45">
        <f>Lm</f>
        <v>3.2999999999999997E-6</v>
      </c>
      <c r="C23" t="s">
        <v>86</v>
      </c>
      <c r="E23" t="s">
        <v>170</v>
      </c>
      <c r="N23" s="11">
        <v>5</v>
      </c>
      <c r="O23" s="52">
        <f t="shared" si="62"/>
        <v>11.220184543019636</v>
      </c>
      <c r="P23" s="50" t="str">
        <f t="shared" si="50"/>
        <v>23.3035714285714</v>
      </c>
      <c r="Q23" s="18" t="str">
        <f t="shared" si="51"/>
        <v>1+0.0267390734220522i</v>
      </c>
      <c r="R23" s="18">
        <f t="shared" si="63"/>
        <v>1.000357425147367</v>
      </c>
      <c r="S23" s="18">
        <f t="shared" si="64"/>
        <v>2.6732703537590045E-2</v>
      </c>
      <c r="T23" s="18" t="str">
        <f t="shared" si="52"/>
        <v>1+0.000124782342636244i</v>
      </c>
      <c r="U23" s="18">
        <f t="shared" si="65"/>
        <v>1.0000000077853164</v>
      </c>
      <c r="V23" s="18">
        <f t="shared" si="66"/>
        <v>1.2478234198859731E-4</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23.2868397718732-0.625747529207004i</v>
      </c>
      <c r="AD23" s="66">
        <f t="shared" si="72"/>
        <v>27.345345862572433</v>
      </c>
      <c r="AE23" s="63">
        <f t="shared" si="73"/>
        <v>-1.5392413573399644</v>
      </c>
      <c r="AF23" s="51" t="e">
        <f t="shared" si="74"/>
        <v>#NUM!</v>
      </c>
      <c r="AG23" s="51" t="str">
        <f t="shared" si="55"/>
        <v>1-0.0374347027908732i</v>
      </c>
      <c r="AH23" s="51">
        <f t="shared" si="75"/>
        <v>1.0007004331831986</v>
      </c>
      <c r="AI23" s="51">
        <f t="shared" si="76"/>
        <v>-3.7417231018439634E-2</v>
      </c>
      <c r="AJ23" s="51" t="str">
        <f t="shared" si="56"/>
        <v>1+0.000124782342636244i</v>
      </c>
      <c r="AK23" s="51">
        <f t="shared" si="77"/>
        <v>1.0000000077853164</v>
      </c>
      <c r="AL23" s="51">
        <f t="shared" si="78"/>
        <v>1.2478234198859731E-4</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24.6430702859214+1484.51165503912i</v>
      </c>
      <c r="BG23" s="66">
        <f t="shared" si="94"/>
        <v>63.432868826822684</v>
      </c>
      <c r="BH23" s="63">
        <f t="shared" si="95"/>
        <v>89.048970585944858</v>
      </c>
      <c r="BI23" s="60" t="e">
        <f t="shared" si="96"/>
        <v>#NUM!</v>
      </c>
      <c r="BJ23" s="66" t="e">
        <f t="shared" si="97"/>
        <v>#NUM!</v>
      </c>
      <c r="BK23" s="63" t="e">
        <f t="shared" si="98"/>
        <v>#NUM!</v>
      </c>
      <c r="BL23" s="51">
        <f t="shared" si="99"/>
        <v>63.432868826822684</v>
      </c>
      <c r="BM23" s="63">
        <f t="shared" si="100"/>
        <v>89.048970585944858</v>
      </c>
    </row>
    <row r="24" spans="1:65" x14ac:dyDescent="0.3">
      <c r="A24" s="32"/>
      <c r="B24" s="32"/>
      <c r="C24" s="32"/>
      <c r="D24" s="32"/>
      <c r="E24" s="32"/>
      <c r="F24" s="32"/>
      <c r="G24" s="32"/>
      <c r="N24" s="11">
        <v>6</v>
      </c>
      <c r="O24" s="52">
        <f t="shared" si="62"/>
        <v>11.481536214968834</v>
      </c>
      <c r="P24" s="50" t="str">
        <f t="shared" si="50"/>
        <v>23.3035714285714</v>
      </c>
      <c r="Q24" s="18" t="str">
        <f t="shared" si="51"/>
        <v>1+0.0273619064528666i</v>
      </c>
      <c r="R24" s="18">
        <f t="shared" si="63"/>
        <v>1.0003742669245024</v>
      </c>
      <c r="S24" s="18">
        <f t="shared" si="64"/>
        <v>2.7355081136602052E-2</v>
      </c>
      <c r="T24" s="18" t="str">
        <f t="shared" si="52"/>
        <v>1+0.000127688896780044i</v>
      </c>
      <c r="U24" s="18">
        <f t="shared" si="65"/>
        <v>1.0000000081522271</v>
      </c>
      <c r="V24" s="18">
        <f t="shared" si="66"/>
        <v>1.2768889608607808E-4</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23.2860518231032-0.640301501795094i</v>
      </c>
      <c r="AD24" s="66">
        <f t="shared" si="72"/>
        <v>27.345199638260741</v>
      </c>
      <c r="AE24" s="63">
        <f t="shared" si="73"/>
        <v>-1.5750773012562651</v>
      </c>
      <c r="AF24" s="51" t="e">
        <f t="shared" si="74"/>
        <v>#NUM!</v>
      </c>
      <c r="AG24" s="51" t="str">
        <f t="shared" si="55"/>
        <v>1-0.0383066690340134i</v>
      </c>
      <c r="AH24" s="51">
        <f t="shared" si="75"/>
        <v>1.0007334314853689</v>
      </c>
      <c r="AI24" s="51">
        <f t="shared" si="76"/>
        <v>-3.8287948433517349E-2</v>
      </c>
      <c r="AJ24" s="51" t="str">
        <f t="shared" si="56"/>
        <v>1+0.000127688896780044i</v>
      </c>
      <c r="AK24" s="51">
        <f t="shared" si="77"/>
        <v>1.0000000081522271</v>
      </c>
      <c r="AL24" s="51">
        <f t="shared" si="78"/>
        <v>1.2768889608607808E-4</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24.6422543256422+1450.6902129742i</v>
      </c>
      <c r="BG24" s="66">
        <f t="shared" si="94"/>
        <v>63.232746570511758</v>
      </c>
      <c r="BH24" s="63">
        <f t="shared" si="95"/>
        <v>89.026834686383893</v>
      </c>
      <c r="BI24" s="60" t="e">
        <f t="shared" si="96"/>
        <v>#NUM!</v>
      </c>
      <c r="BJ24" s="66" t="e">
        <f t="shared" si="97"/>
        <v>#NUM!</v>
      </c>
      <c r="BK24" s="63" t="e">
        <f t="shared" si="98"/>
        <v>#NUM!</v>
      </c>
      <c r="BL24" s="51">
        <f t="shared" si="99"/>
        <v>63.232746570511758</v>
      </c>
      <c r="BM24" s="63">
        <f t="shared" si="100"/>
        <v>89.026834686383893</v>
      </c>
    </row>
    <row r="25" spans="1:65" x14ac:dyDescent="0.3">
      <c r="A25" t="s">
        <v>130</v>
      </c>
      <c r="B25" s="45">
        <f>R_cs</f>
        <v>4.0000000000000001E-3</v>
      </c>
      <c r="C25" s="2" t="s">
        <v>36</v>
      </c>
      <c r="E25" t="s">
        <v>171</v>
      </c>
      <c r="N25" s="11">
        <v>7</v>
      </c>
      <c r="O25" s="52">
        <f t="shared" si="62"/>
        <v>11.748975549395301</v>
      </c>
      <c r="P25" s="50" t="str">
        <f t="shared" si="50"/>
        <v>23.3035714285714</v>
      </c>
      <c r="Q25" s="18" t="str">
        <f t="shared" si="51"/>
        <v>1+0.02799924712866i</v>
      </c>
      <c r="R25" s="18">
        <f t="shared" si="63"/>
        <v>1.0003919021262475</v>
      </c>
      <c r="S25" s="18">
        <f t="shared" si="64"/>
        <v>2.799193382524677E-2</v>
      </c>
      <c r="T25" s="18" t="str">
        <f t="shared" si="52"/>
        <v>1+0.00013066315326708i</v>
      </c>
      <c r="U25" s="18">
        <f t="shared" si="65"/>
        <v>1.0000000085364298</v>
      </c>
      <c r="V25" s="18">
        <f t="shared" si="66"/>
        <v>1.3066315252348212E-4</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23.2852267963212-0.655192939606191i</v>
      </c>
      <c r="AD25" s="66">
        <f t="shared" si="72"/>
        <v>27.345046527886719</v>
      </c>
      <c r="AE25" s="63">
        <f t="shared" si="73"/>
        <v>-1.6117467140681994</v>
      </c>
      <c r="AF25" s="51" t="e">
        <f t="shared" si="74"/>
        <v>#NUM!</v>
      </c>
      <c r="AG25" s="51" t="str">
        <f t="shared" si="55"/>
        <v>1-0.0391989459801241i</v>
      </c>
      <c r="AH25" s="51">
        <f t="shared" si="75"/>
        <v>1.0007679837834305</v>
      </c>
      <c r="AI25" s="51">
        <f t="shared" si="76"/>
        <v>-3.9178887326581195E-2</v>
      </c>
      <c r="AJ25" s="51" t="str">
        <f t="shared" si="56"/>
        <v>1+0.00013066315326708i</v>
      </c>
      <c r="AK25" s="51">
        <f t="shared" si="77"/>
        <v>1.0000000085364298</v>
      </c>
      <c r="AL25" s="51">
        <f t="shared" si="78"/>
        <v>1.3066315252348212E-4</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24.6413999692307+1417.63794816566i</v>
      </c>
      <c r="BG25" s="66">
        <f t="shared" si="94"/>
        <v>63.032618557573073</v>
      </c>
      <c r="BH25" s="63">
        <f t="shared" si="95"/>
        <v>89.004184349149853</v>
      </c>
      <c r="BI25" s="60" t="e">
        <f t="shared" si="96"/>
        <v>#NUM!</v>
      </c>
      <c r="BJ25" s="66" t="e">
        <f t="shared" si="97"/>
        <v>#NUM!</v>
      </c>
      <c r="BK25" s="63" t="e">
        <f t="shared" si="98"/>
        <v>#NUM!</v>
      </c>
      <c r="BL25" s="51">
        <f t="shared" si="99"/>
        <v>63.032618557573073</v>
      </c>
      <c r="BM25" s="63">
        <f t="shared" si="100"/>
        <v>89.004184349149853</v>
      </c>
    </row>
    <row r="26" spans="1:65" s="32" customFormat="1" x14ac:dyDescent="0.3">
      <c r="A26" t="s">
        <v>131</v>
      </c>
      <c r="B26" s="45">
        <f>R_sl</f>
        <v>0</v>
      </c>
      <c r="C26" s="2" t="s">
        <v>36</v>
      </c>
      <c r="D26"/>
      <c r="E26" t="s">
        <v>172</v>
      </c>
      <c r="F26"/>
      <c r="G26"/>
      <c r="K26"/>
      <c r="N26" s="11">
        <v>8</v>
      </c>
      <c r="O26" s="52">
        <f t="shared" si="62"/>
        <v>12.022644346174133</v>
      </c>
      <c r="P26" s="50" t="str">
        <f t="shared" si="50"/>
        <v>23.3035714285714</v>
      </c>
      <c r="Q26" s="18" t="str">
        <f t="shared" si="51"/>
        <v>1+0.0286514333758947i</v>
      </c>
      <c r="R26" s="18">
        <f t="shared" si="63"/>
        <v>1.0004103681162513</v>
      </c>
      <c r="S26" s="18">
        <f t="shared" si="64"/>
        <v>2.8643597203701743E-2</v>
      </c>
      <c r="T26" s="18" t="str">
        <f t="shared" si="52"/>
        <v>1+0.000133706689087509i</v>
      </c>
      <c r="U26" s="18">
        <f t="shared" si="65"/>
        <v>1.0000000089387393</v>
      </c>
      <c r="V26" s="18">
        <f t="shared" si="66"/>
        <v>1.3370668829072949E-4</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23.2843629495745-0.670429593244597i</v>
      </c>
      <c r="AD26" s="66">
        <f t="shared" si="72"/>
        <v>27.344886207429013</v>
      </c>
      <c r="AE26" s="63">
        <f t="shared" si="73"/>
        <v>-1.6492689199220312</v>
      </c>
      <c r="AF26" s="51" t="e">
        <f t="shared" si="74"/>
        <v>#NUM!</v>
      </c>
      <c r="AG26" s="51" t="str">
        <f t="shared" si="55"/>
        <v>1-0.0401120067262527i</v>
      </c>
      <c r="AH26" s="51">
        <f t="shared" si="75"/>
        <v>1.0008041632025753</v>
      </c>
      <c r="AI26" s="51">
        <f t="shared" si="76"/>
        <v>-4.0090514424377714E-2</v>
      </c>
      <c r="AJ26" s="51" t="str">
        <f t="shared" si="56"/>
        <v>1+0.000133706689087509i</v>
      </c>
      <c r="AK26" s="51">
        <f t="shared" si="77"/>
        <v>1.0000000089387393</v>
      </c>
      <c r="AL26" s="51">
        <f t="shared" si="78"/>
        <v>1.3370668829072949E-4</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24.6405054128073+1385.33733601539i</v>
      </c>
      <c r="BG26" s="66">
        <f t="shared" si="94"/>
        <v>62.832484517200122</v>
      </c>
      <c r="BH26" s="63">
        <f t="shared" si="95"/>
        <v>88.981007675295643</v>
      </c>
      <c r="BI26" s="60" t="e">
        <f t="shared" si="96"/>
        <v>#NUM!</v>
      </c>
      <c r="BJ26" s="66" t="e">
        <f t="shared" si="97"/>
        <v>#NUM!</v>
      </c>
      <c r="BK26" s="63" t="e">
        <f t="shared" si="98"/>
        <v>#NUM!</v>
      </c>
      <c r="BL26" s="51">
        <f t="shared" si="99"/>
        <v>62.832484517200122</v>
      </c>
      <c r="BM26" s="63">
        <f t="shared" si="100"/>
        <v>88.981007675295643</v>
      </c>
    </row>
    <row r="27" spans="1:65" s="32" customFormat="1" x14ac:dyDescent="0.3">
      <c r="A27" t="s">
        <v>118</v>
      </c>
      <c r="B27" s="22">
        <f>Rsl_int</f>
        <v>1333</v>
      </c>
      <c r="C27" s="2" t="s">
        <v>36</v>
      </c>
      <c r="D27"/>
      <c r="E27" t="s">
        <v>173</v>
      </c>
      <c r="F27"/>
      <c r="G27"/>
      <c r="K27"/>
      <c r="N27" s="11">
        <v>9</v>
      </c>
      <c r="O27" s="52">
        <f t="shared" si="62"/>
        <v>12.302687708123818</v>
      </c>
      <c r="P27" s="50" t="str">
        <f t="shared" si="50"/>
        <v>23.3035714285714</v>
      </c>
      <c r="Q27" s="18" t="str">
        <f t="shared" si="51"/>
        <v>1+0.029318810992352i</v>
      </c>
      <c r="R27" s="18">
        <f t="shared" si="63"/>
        <v>1.0004297040162318</v>
      </c>
      <c r="S27" s="18">
        <f t="shared" si="64"/>
        <v>2.9310414577339267E-2</v>
      </c>
      <c r="T27" s="18" t="str">
        <f t="shared" si="52"/>
        <v>1+0.00013682111796431i</v>
      </c>
      <c r="U27" s="18">
        <f t="shared" si="65"/>
        <v>1.0000000093600092</v>
      </c>
      <c r="V27" s="18">
        <f t="shared" si="66"/>
        <v>1.3682111711054541E-4</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23.2834584593422-0.686019386008028i</v>
      </c>
      <c r="AD27" s="66">
        <f t="shared" si="72"/>
        <v>27.344718337644544</v>
      </c>
      <c r="AE27" s="63">
        <f t="shared" si="73"/>
        <v>-1.6876636866676757</v>
      </c>
      <c r="AF27" s="51" t="e">
        <f t="shared" si="74"/>
        <v>#NUM!</v>
      </c>
      <c r="AG27" s="51" t="str">
        <f t="shared" si="55"/>
        <v>1-0.0410463353892929i</v>
      </c>
      <c r="AH27" s="51">
        <f t="shared" si="75"/>
        <v>1.0008420463034566</v>
      </c>
      <c r="AI27" s="51">
        <f t="shared" si="76"/>
        <v>-4.1023307019241E-2</v>
      </c>
      <c r="AJ27" s="51" t="str">
        <f t="shared" si="56"/>
        <v>1+0.00013682111796431i</v>
      </c>
      <c r="AK27" s="51">
        <f t="shared" si="77"/>
        <v>1.0000000093600092</v>
      </c>
      <c r="AL27" s="51">
        <f t="shared" si="78"/>
        <v>1.3682111711054541E-4</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24.6395687680257+1353.77125047217i</v>
      </c>
      <c r="BG27" s="66">
        <f t="shared" si="94"/>
        <v>62.63234416587126</v>
      </c>
      <c r="BH27" s="63">
        <f t="shared" si="95"/>
        <v>88.957292494697199</v>
      </c>
      <c r="BI27" s="60" t="e">
        <f t="shared" si="96"/>
        <v>#NUM!</v>
      </c>
      <c r="BJ27" s="66" t="e">
        <f t="shared" si="97"/>
        <v>#NUM!</v>
      </c>
      <c r="BK27" s="63" t="e">
        <f t="shared" si="98"/>
        <v>#NUM!</v>
      </c>
      <c r="BL27" s="51">
        <f t="shared" si="99"/>
        <v>62.63234416587126</v>
      </c>
      <c r="BM27" s="63">
        <f t="shared" si="100"/>
        <v>88.957292494697199</v>
      </c>
    </row>
    <row r="28" spans="1:65" x14ac:dyDescent="0.3">
      <c r="A28" t="s">
        <v>116</v>
      </c>
      <c r="B28" s="22">
        <f>Isl</f>
        <v>2.9999999999999997E-5</v>
      </c>
      <c r="C28" s="2" t="s">
        <v>11</v>
      </c>
      <c r="E28" t="s">
        <v>174</v>
      </c>
      <c r="K28" s="32"/>
      <c r="N28" s="11">
        <v>10</v>
      </c>
      <c r="O28" s="52">
        <f t="shared" si="62"/>
        <v>12.58925411794168</v>
      </c>
      <c r="P28" s="50" t="str">
        <f t="shared" si="50"/>
        <v>23.3035714285714</v>
      </c>
      <c r="Q28" s="18" t="str">
        <f t="shared" si="51"/>
        <v>1+0.0300017338304778i</v>
      </c>
      <c r="R28" s="18">
        <f t="shared" si="63"/>
        <v>1.0004499507885614</v>
      </c>
      <c r="S28" s="18">
        <f t="shared" si="64"/>
        <v>2.9992737128221387E-2</v>
      </c>
      <c r="T28" s="18" t="str">
        <f t="shared" si="52"/>
        <v>1+0.000140008091208896i</v>
      </c>
      <c r="U28" s="18">
        <f t="shared" si="65"/>
        <v>1.0000000098011328</v>
      </c>
      <c r="V28" s="18">
        <f t="shared" si="66"/>
        <v>1.4000809029407073E-4</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23.2825114167423-0.70197041735221i</v>
      </c>
      <c r="AD28" s="66">
        <f t="shared" si="72"/>
        <v>27.34454256335605</v>
      </c>
      <c r="AE28" s="63">
        <f t="shared" si="73"/>
        <v>-1.7269512357365169</v>
      </c>
      <c r="AF28" s="51" t="e">
        <f t="shared" si="74"/>
        <v>#NUM!</v>
      </c>
      <c r="AG28" s="51" t="str">
        <f t="shared" si="55"/>
        <v>1-0.042002427362669i</v>
      </c>
      <c r="AH28" s="51">
        <f t="shared" si="75"/>
        <v>1.0008817132430567</v>
      </c>
      <c r="AI28" s="51">
        <f t="shared" si="76"/>
        <v>-4.1977753193451893E-2</v>
      </c>
      <c r="AJ28" s="51" t="str">
        <f t="shared" si="56"/>
        <v>1+0.000140008091208896i</v>
      </c>
      <c r="AK28" s="51">
        <f t="shared" si="77"/>
        <v>1.0000000098011328</v>
      </c>
      <c r="AL28" s="51">
        <f t="shared" si="78"/>
        <v>1.4000809029407073E-4</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24.6385880581431+1322.92295495199i</v>
      </c>
      <c r="BG28" s="66">
        <f t="shared" si="94"/>
        <v>62.432197206755262</v>
      </c>
      <c r="BH28" s="63">
        <f t="shared" si="95"/>
        <v>88.933026360163581</v>
      </c>
      <c r="BI28" s="60" t="e">
        <f t="shared" si="96"/>
        <v>#NUM!</v>
      </c>
      <c r="BJ28" s="66" t="e">
        <f t="shared" si="97"/>
        <v>#NUM!</v>
      </c>
      <c r="BK28" s="63" t="e">
        <f t="shared" si="98"/>
        <v>#NUM!</v>
      </c>
      <c r="BL28" s="51">
        <f t="shared" si="99"/>
        <v>62.432197206755262</v>
      </c>
      <c r="BM28" s="63">
        <f t="shared" si="100"/>
        <v>88.933026360163581</v>
      </c>
    </row>
    <row r="29" spans="1:65" x14ac:dyDescent="0.3">
      <c r="A29" s="32"/>
      <c r="B29" s="27"/>
      <c r="C29" s="2"/>
      <c r="D29" s="32"/>
      <c r="E29" s="32"/>
      <c r="F29" s="32"/>
      <c r="G29" s="32"/>
      <c r="N29" s="11">
        <v>11</v>
      </c>
      <c r="O29" s="52">
        <f t="shared" si="62"/>
        <v>12.882495516931346</v>
      </c>
      <c r="P29" s="50" t="str">
        <f t="shared" si="50"/>
        <v>23.3035714285714</v>
      </c>
      <c r="Q29" s="18" t="str">
        <f t="shared" si="51"/>
        <v>1+0.0307005639850003i</v>
      </c>
      <c r="R29" s="18">
        <f t="shared" si="63"/>
        <v>1.000471151322714</v>
      </c>
      <c r="S29" s="18">
        <f t="shared" si="64"/>
        <v>3.0690924090023105E-2</v>
      </c>
      <c r="T29" s="18" t="str">
        <f t="shared" si="52"/>
        <v>1+0.000143269298596668i</v>
      </c>
      <c r="U29" s="18">
        <f t="shared" si="65"/>
        <v>1.000000010263046</v>
      </c>
      <c r="V29" s="18">
        <f t="shared" si="66"/>
        <v>1.4326929761641509E-4</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23.2815198235638-0.718290966396646i</v>
      </c>
      <c r="AD29" s="66">
        <f t="shared" si="72"/>
        <v>27.34435851270608</v>
      </c>
      <c r="AE29" s="63">
        <f t="shared" si="73"/>
        <v>-1.7671522522169056</v>
      </c>
      <c r="AF29" s="51" t="e">
        <f t="shared" si="74"/>
        <v>#NUM!</v>
      </c>
      <c r="AG29" s="51" t="str">
        <f t="shared" si="55"/>
        <v>1-0.0429807895790005i</v>
      </c>
      <c r="AH29" s="51">
        <f t="shared" si="75"/>
        <v>1.000923247943035</v>
      </c>
      <c r="AI29" s="51">
        <f t="shared" si="76"/>
        <v>-4.2954352047285455E-2</v>
      </c>
      <c r="AJ29" s="51" t="str">
        <f t="shared" si="56"/>
        <v>1+0.000143269298596668i</v>
      </c>
      <c r="AK29" s="51">
        <f t="shared" si="77"/>
        <v>1.000000010263046</v>
      </c>
      <c r="AL29" s="51">
        <f t="shared" si="78"/>
        <v>1.4326929761641509E-4</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24.6375612139117+1292.77609346491i</v>
      </c>
      <c r="BG29" s="66">
        <f t="shared" si="94"/>
        <v>62.232043329088995</v>
      </c>
      <c r="BH29" s="63">
        <f t="shared" si="95"/>
        <v>88.908196541440418</v>
      </c>
      <c r="BI29" s="60" t="e">
        <f t="shared" si="96"/>
        <v>#NUM!</v>
      </c>
      <c r="BJ29" s="66" t="e">
        <f t="shared" si="97"/>
        <v>#NUM!</v>
      </c>
      <c r="BK29" s="63" t="e">
        <f t="shared" si="98"/>
        <v>#NUM!</v>
      </c>
      <c r="BL29" s="51">
        <f t="shared" si="99"/>
        <v>62.232043329088995</v>
      </c>
      <c r="BM29" s="63">
        <f t="shared" si="100"/>
        <v>88.908196541440418</v>
      </c>
    </row>
    <row r="30" spans="1:65" x14ac:dyDescent="0.3">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1+0.0314156719849177i</v>
      </c>
      <c r="R30" s="18">
        <f t="shared" si="63"/>
        <v>1.0004933505257614</v>
      </c>
      <c r="S30" s="18">
        <f t="shared" si="64"/>
        <v>3.1405342926421907E-2</v>
      </c>
      <c r="T30" s="18" t="str">
        <f t="shared" si="52"/>
        <v>1+0.000146606469262949i</v>
      </c>
      <c r="U30" s="18">
        <f t="shared" si="65"/>
        <v>1.0000000107467284</v>
      </c>
      <c r="V30" s="18">
        <f t="shared" si="66"/>
        <v>1.4660646821258909E-4</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23.2804815881183-0.73498949546973i</v>
      </c>
      <c r="AD30" s="66">
        <f t="shared" si="72"/>
        <v>27.344165796376771</v>
      </c>
      <c r="AE30" s="63">
        <f t="shared" si="73"/>
        <v>-1.8082878951294905</v>
      </c>
      <c r="AF30" s="51" t="e">
        <f t="shared" si="74"/>
        <v>#NUM!</v>
      </c>
      <c r="AG30" s="51" t="str">
        <f t="shared" si="55"/>
        <v>1-0.0439819407788849i</v>
      </c>
      <c r="AH30" s="51">
        <f t="shared" si="75"/>
        <v>1.0009667382659013</v>
      </c>
      <c r="AI30" s="51">
        <f t="shared" si="76"/>
        <v>-4.3953613930723043E-2</v>
      </c>
      <c r="AJ30" s="51" t="str">
        <f t="shared" si="56"/>
        <v>1+0.000146606469262949i</v>
      </c>
      <c r="AK30" s="51">
        <f t="shared" si="77"/>
        <v>1.0000000107467284</v>
      </c>
      <c r="AL30" s="51">
        <f t="shared" si="78"/>
        <v>1.4660646821258909E-4</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24.6364860692841+1263.31468194376i</v>
      </c>
      <c r="BG30" s="66">
        <f t="shared" si="94"/>
        <v>62.031882207526337</v>
      </c>
      <c r="BH30" s="63">
        <f t="shared" si="95"/>
        <v>88.882790019105769</v>
      </c>
      <c r="BI30" s="60" t="e">
        <f t="shared" si="96"/>
        <v>#NUM!</v>
      </c>
      <c r="BJ30" s="66" t="e">
        <f t="shared" si="97"/>
        <v>#NUM!</v>
      </c>
      <c r="BK30" s="63" t="e">
        <f t="shared" si="98"/>
        <v>#NUM!</v>
      </c>
      <c r="BL30" s="51">
        <f t="shared" si="99"/>
        <v>62.031882207526337</v>
      </c>
      <c r="BM30" s="63">
        <f t="shared" si="100"/>
        <v>88.882790019105769</v>
      </c>
    </row>
    <row r="31" spans="1:65" x14ac:dyDescent="0.3">
      <c r="A31" t="s">
        <v>504</v>
      </c>
      <c r="B31">
        <v>1</v>
      </c>
      <c r="E31" t="s">
        <v>583</v>
      </c>
      <c r="N31" s="11">
        <v>13</v>
      </c>
      <c r="O31" s="52">
        <f t="shared" si="62"/>
        <v>13.489628825916535</v>
      </c>
      <c r="P31" s="50" t="str">
        <f t="shared" si="50"/>
        <v>23.3035714285714</v>
      </c>
      <c r="Q31" s="18" t="str">
        <f t="shared" si="51"/>
        <v>1+0.0321474369899571i</v>
      </c>
      <c r="R31" s="18">
        <f t="shared" si="63"/>
        <v>1.0005165954170991</v>
      </c>
      <c r="S31" s="18">
        <f t="shared" si="64"/>
        <v>3.2136369512990579E-2</v>
      </c>
      <c r="T31" s="18" t="str">
        <f t="shared" si="52"/>
        <v>1+0.0001500213726198i</v>
      </c>
      <c r="U31" s="18">
        <f t="shared" si="65"/>
        <v>1.0000000112532061</v>
      </c>
      <c r="V31" s="18">
        <f t="shared" si="66"/>
        <v>1.5002137149431905E-4</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23.2793945209008-0.752074653691057i</v>
      </c>
      <c r="AD31" s="66">
        <f t="shared" si="72"/>
        <v>27.343964006772925</v>
      </c>
      <c r="AE31" s="63">
        <f t="shared" si="73"/>
        <v>-1.8503798079045128</v>
      </c>
      <c r="AF31" s="51" t="e">
        <f t="shared" si="74"/>
        <v>#NUM!</v>
      </c>
      <c r="AG31" s="51" t="str">
        <f t="shared" si="55"/>
        <v>1-0.0450064117859401i</v>
      </c>
      <c r="AH31" s="51">
        <f t="shared" si="75"/>
        <v>1.0010122761993709</v>
      </c>
      <c r="AI31" s="51">
        <f t="shared" si="76"/>
        <v>-4.4976060678797739E-2</v>
      </c>
      <c r="AJ31" s="51" t="str">
        <f t="shared" si="56"/>
        <v>1+0.0001500213726198i</v>
      </c>
      <c r="AK31" s="51">
        <f t="shared" si="77"/>
        <v>1.0000000112532061</v>
      </c>
      <c r="AL31" s="51">
        <f t="shared" si="78"/>
        <v>1.5002137149431905E-4</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24.6353603569185+1234.52309977012i</v>
      </c>
      <c r="BG31" s="66">
        <f t="shared" si="94"/>
        <v>61.831713501456974</v>
      </c>
      <c r="BH31" s="63">
        <f t="shared" si="95"/>
        <v>88.856793478359037</v>
      </c>
      <c r="BI31" s="60" t="e">
        <f t="shared" si="96"/>
        <v>#NUM!</v>
      </c>
      <c r="BJ31" s="66" t="e">
        <f t="shared" si="97"/>
        <v>#NUM!</v>
      </c>
      <c r="BK31" s="63" t="e">
        <f t="shared" si="98"/>
        <v>#NUM!</v>
      </c>
      <c r="BL31" s="51">
        <f t="shared" si="99"/>
        <v>61.831713501456974</v>
      </c>
      <c r="BM31" s="63">
        <f t="shared" si="100"/>
        <v>88.856793478359037</v>
      </c>
    </row>
    <row r="32" spans="1:65" ht="15.6" x14ac:dyDescent="0.3">
      <c r="A32" s="53" t="s">
        <v>497</v>
      </c>
      <c r="N32" s="11">
        <v>14</v>
      </c>
      <c r="O32" s="52">
        <f t="shared" si="62"/>
        <v>13.803842646028857</v>
      </c>
      <c r="P32" s="50" t="str">
        <f t="shared" si="50"/>
        <v>23.3035714285714</v>
      </c>
      <c r="Q32" s="18" t="str">
        <f t="shared" si="51"/>
        <v>1+0.0328962469916102i</v>
      </c>
      <c r="R32" s="18">
        <f t="shared" si="63"/>
        <v>1.0005409352276062</v>
      </c>
      <c r="S32" s="18">
        <f t="shared" si="64"/>
        <v>3.288438832263036E-2</v>
      </c>
      <c r="T32" s="18" t="str">
        <f t="shared" si="52"/>
        <v>1+0.000153515819294181i</v>
      </c>
      <c r="U32" s="18">
        <f t="shared" si="65"/>
        <v>1.0000000117835532</v>
      </c>
      <c r="V32" s="18">
        <f t="shared" si="66"/>
        <v>1.5351581808820645E-4</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23.278256330054-0.769555280588733i</v>
      </c>
      <c r="AD32" s="66">
        <f t="shared" si="72"/>
        <v>27.34375271716786</v>
      </c>
      <c r="AE32" s="63">
        <f t="shared" si="73"/>
        <v>-1.8934501290632466</v>
      </c>
      <c r="AF32" s="51" t="e">
        <f t="shared" si="74"/>
        <v>#NUM!</v>
      </c>
      <c r="AG32" s="51" t="str">
        <f t="shared" si="55"/>
        <v>1-0.0460547457882544i</v>
      </c>
      <c r="AH32" s="51">
        <f t="shared" si="75"/>
        <v>1.0010599580492772</v>
      </c>
      <c r="AI32" s="51">
        <f t="shared" si="76"/>
        <v>-4.6022225850536162E-2</v>
      </c>
      <c r="AJ32" s="51" t="str">
        <f t="shared" si="56"/>
        <v>1+0.000153515819294181i</v>
      </c>
      <c r="AK32" s="51">
        <f t="shared" si="77"/>
        <v>1.0000000117835532</v>
      </c>
      <c r="AL32" s="51">
        <f t="shared" si="78"/>
        <v>1.5351581808820645E-4</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24.6341817034819+1206.38608149306i</v>
      </c>
      <c r="BG32" s="66">
        <f t="shared" si="94"/>
        <v>61.631536854293614</v>
      </c>
      <c r="BH32" s="63">
        <f t="shared" si="95"/>
        <v>88.830193302702128</v>
      </c>
      <c r="BI32" s="60" t="e">
        <f t="shared" si="96"/>
        <v>#NUM!</v>
      </c>
      <c r="BJ32" s="66" t="e">
        <f t="shared" si="97"/>
        <v>#NUM!</v>
      </c>
      <c r="BK32" s="63" t="e">
        <f t="shared" si="98"/>
        <v>#NUM!</v>
      </c>
      <c r="BL32" s="51">
        <f t="shared" si="99"/>
        <v>61.631536854293614</v>
      </c>
      <c r="BM32" s="63">
        <f t="shared" si="100"/>
        <v>88.830193302702128</v>
      </c>
    </row>
    <row r="33" spans="1:65" x14ac:dyDescent="0.3">
      <c r="K33" s="32"/>
      <c r="N33" s="11">
        <v>15</v>
      </c>
      <c r="O33" s="52">
        <f t="shared" si="62"/>
        <v>14.125375446227544</v>
      </c>
      <c r="P33" s="50" t="str">
        <f t="shared" si="50"/>
        <v>23.3035714285714</v>
      </c>
      <c r="Q33" s="18" t="str">
        <f t="shared" si="51"/>
        <v>1+0.0336624990188516i</v>
      </c>
      <c r="R33" s="18">
        <f t="shared" si="63"/>
        <v>1.0005664215034373</v>
      </c>
      <c r="S33" s="18">
        <f t="shared" si="64"/>
        <v>3.3649792614576589E-2</v>
      </c>
      <c r="T33" s="18" t="str">
        <f t="shared" si="52"/>
        <v>1+0.000157091662087974i</v>
      </c>
      <c r="U33" s="18">
        <f t="shared" si="65"/>
        <v>1.000000012338895</v>
      </c>
      <c r="V33" s="18">
        <f t="shared" si="66"/>
        <v>1.57091660795749E-4</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23.2770646166237-0.78744040974898i</v>
      </c>
      <c r="AD33" s="66">
        <f t="shared" si="72"/>
        <v>27.343531480808764</v>
      </c>
      <c r="AE33" s="63">
        <f t="shared" si="73"/>
        <v>-1.9375215031055042</v>
      </c>
      <c r="AF33" s="51" t="e">
        <f t="shared" si="74"/>
        <v>#NUM!</v>
      </c>
      <c r="AG33" s="51" t="str">
        <f t="shared" si="55"/>
        <v>1-0.0471274986263923i</v>
      </c>
      <c r="AH33" s="51">
        <f t="shared" si="75"/>
        <v>1.0011098846414317</v>
      </c>
      <c r="AI33" s="51">
        <f t="shared" si="76"/>
        <v>-4.709265497144733E-2</v>
      </c>
      <c r="AJ33" s="51" t="str">
        <f t="shared" si="56"/>
        <v>1+0.000157091662087974i</v>
      </c>
      <c r="AK33" s="51">
        <f t="shared" si="77"/>
        <v>1.000000012338895</v>
      </c>
      <c r="AL33" s="51">
        <f t="shared" si="78"/>
        <v>1.57091660795749E-4</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24.6329476247378+1178.88870873629i</v>
      </c>
      <c r="BG33" s="66">
        <f t="shared" si="94"/>
        <v>61.431351892726489</v>
      </c>
      <c r="BH33" s="63">
        <f t="shared" si="95"/>
        <v>88.802975567513542</v>
      </c>
      <c r="BI33" s="60" t="e">
        <f t="shared" si="96"/>
        <v>#NUM!</v>
      </c>
      <c r="BJ33" s="66" t="e">
        <f t="shared" si="97"/>
        <v>#NUM!</v>
      </c>
      <c r="BK33" s="63" t="e">
        <f t="shared" si="98"/>
        <v>#NUM!</v>
      </c>
      <c r="BL33" s="51">
        <f t="shared" si="99"/>
        <v>61.431351892726489</v>
      </c>
      <c r="BM33" s="63">
        <f t="shared" si="100"/>
        <v>88.802975567513542</v>
      </c>
    </row>
    <row r="34" spans="1:65" x14ac:dyDescent="0.3">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1+0.0344465993486486i</v>
      </c>
      <c r="R34" s="18">
        <f t="shared" si="63"/>
        <v>1.000593108214666</v>
      </c>
      <c r="S34" s="18">
        <f t="shared" si="64"/>
        <v>3.4432984627007279E-2</v>
      </c>
      <c r="T34" s="18" t="str">
        <f t="shared" si="52"/>
        <v>1+0.00016075079696036i</v>
      </c>
      <c r="U34" s="18">
        <f t="shared" si="65"/>
        <v>1.0000000129204094</v>
      </c>
      <c r="V34" s="18">
        <f t="shared" si="66"/>
        <v>1.6075079557571593E-4</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23.2758168696-0.805739272495205i</v>
      </c>
      <c r="AD34" s="66">
        <f t="shared" si="72"/>
        <v>27.343299829981294</v>
      </c>
      <c r="AE34" s="63">
        <f t="shared" si="73"/>
        <v>-1.9826170916048591</v>
      </c>
      <c r="AF34" s="51" t="e">
        <f t="shared" si="74"/>
        <v>#NUM!</v>
      </c>
      <c r="AG34" s="51" t="str">
        <f t="shared" si="55"/>
        <v>1-0.0482252390881081i</v>
      </c>
      <c r="AH34" s="51">
        <f t="shared" si="75"/>
        <v>1.0011621615328383</v>
      </c>
      <c r="AI34" s="51">
        <f t="shared" si="76"/>
        <v>-4.8187905779499128E-2</v>
      </c>
      <c r="AJ34" s="51" t="str">
        <f t="shared" si="56"/>
        <v>1+0.00016075079696036i</v>
      </c>
      <c r="AK34" s="51">
        <f t="shared" si="77"/>
        <v>1.0000000129204094</v>
      </c>
      <c r="AL34" s="51">
        <f t="shared" si="78"/>
        <v>1.6075079557571593E-4</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24.6316555204094+1152.01640228933i</v>
      </c>
      <c r="BG34" s="66">
        <f t="shared" si="94"/>
        <v>61.231158225942664</v>
      </c>
      <c r="BH34" s="63">
        <f t="shared" si="95"/>
        <v>88.775126033515335</v>
      </c>
      <c r="BI34" s="60" t="e">
        <f t="shared" si="96"/>
        <v>#NUM!</v>
      </c>
      <c r="BJ34" s="66" t="e">
        <f t="shared" si="97"/>
        <v>#NUM!</v>
      </c>
      <c r="BK34" s="63" t="e">
        <f t="shared" si="98"/>
        <v>#NUM!</v>
      </c>
      <c r="BL34" s="51">
        <f t="shared" si="99"/>
        <v>61.231158225942664</v>
      </c>
      <c r="BM34" s="63">
        <f t="shared" si="100"/>
        <v>88.775126033515335</v>
      </c>
    </row>
    <row r="35" spans="1:65" x14ac:dyDescent="0.3">
      <c r="A35" t="s">
        <v>214</v>
      </c>
      <c r="B35" s="30">
        <f>(1+DC_VIN_Var)/(Cout*(VOUT/IOUT))</f>
        <v>2636.5348399246705</v>
      </c>
      <c r="C35" t="s">
        <v>213</v>
      </c>
      <c r="E35" t="s">
        <v>204</v>
      </c>
      <c r="N35" s="11">
        <v>17</v>
      </c>
      <c r="O35" s="52">
        <f t="shared" si="62"/>
        <v>14.791083881682074</v>
      </c>
      <c r="P35" s="50" t="str">
        <f t="shared" si="50"/>
        <v>23.3035714285714</v>
      </c>
      <c r="Q35" s="18" t="str">
        <f t="shared" si="51"/>
        <v>1+0.0352489637213749i</v>
      </c>
      <c r="R35" s="18">
        <f t="shared" si="63"/>
        <v>1.0006210518690035</v>
      </c>
      <c r="S35" s="18">
        <f t="shared" si="64"/>
        <v>3.5234375773282617E-2</v>
      </c>
      <c r="T35" s="18" t="str">
        <f t="shared" si="52"/>
        <v>1+0.000164495164033083i</v>
      </c>
      <c r="U35" s="18">
        <f t="shared" si="65"/>
        <v>1.0000000135293294</v>
      </c>
      <c r="V35" s="18">
        <f t="shared" si="66"/>
        <v>1.6449516254941017E-4</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23.2745104607331-0.824461301593343i</v>
      </c>
      <c r="AD35" s="66">
        <f t="shared" si="72"/>
        <v>27.343057275030802</v>
      </c>
      <c r="AE35" s="63">
        <f t="shared" si="73"/>
        <v>-2.0287605845133565</v>
      </c>
      <c r="AF35" s="51" t="e">
        <f t="shared" si="74"/>
        <v>#NUM!</v>
      </c>
      <c r="AG35" s="51" t="str">
        <f t="shared" si="55"/>
        <v>1-0.0493485492099249i</v>
      </c>
      <c r="AH35" s="51">
        <f t="shared" si="75"/>
        <v>1.0012168992326909</v>
      </c>
      <c r="AI35" s="51">
        <f t="shared" si="76"/>
        <v>-4.930854847451397E-2</v>
      </c>
      <c r="AJ35" s="51" t="str">
        <f t="shared" si="56"/>
        <v>1+0.000164495164033083i</v>
      </c>
      <c r="AK35" s="51">
        <f t="shared" si="77"/>
        <v>1.0000000135293294</v>
      </c>
      <c r="AL35" s="51">
        <f t="shared" si="78"/>
        <v>1.6449516254941017E-4</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24.6303026688131+1125.75491437874i</v>
      </c>
      <c r="BG35" s="66">
        <f t="shared" si="94"/>
        <v>61.030955444810651</v>
      </c>
      <c r="BH35" s="63">
        <f t="shared" si="95"/>
        <v>88.746630140133718</v>
      </c>
      <c r="BI35" s="60" t="e">
        <f t="shared" si="96"/>
        <v>#NUM!</v>
      </c>
      <c r="BJ35" s="66" t="e">
        <f t="shared" si="97"/>
        <v>#NUM!</v>
      </c>
      <c r="BK35" s="63" t="e">
        <f t="shared" si="98"/>
        <v>#NUM!</v>
      </c>
      <c r="BL35" s="51">
        <f t="shared" si="99"/>
        <v>61.030955444810651</v>
      </c>
      <c r="BM35" s="63">
        <f t="shared" si="100"/>
        <v>88.746630140133718</v>
      </c>
    </row>
    <row r="36" spans="1:65" x14ac:dyDescent="0.3">
      <c r="B36" s="29">
        <f>wp_lf/(2*PI())</f>
        <v>419.61755240801034</v>
      </c>
      <c r="C36" t="s">
        <v>67</v>
      </c>
      <c r="N36" s="11">
        <v>18</v>
      </c>
      <c r="O36" s="52">
        <f t="shared" si="62"/>
        <v>15.135612484362087</v>
      </c>
      <c r="P36" s="50" t="str">
        <f t="shared" si="50"/>
        <v>23.3035714285714</v>
      </c>
      <c r="Q36" s="18" t="str">
        <f t="shared" si="51"/>
        <v>1+0.0360700175612415i</v>
      </c>
      <c r="R36" s="18">
        <f t="shared" si="63"/>
        <v>1.0006503116308256</v>
      </c>
      <c r="S36" s="18">
        <f t="shared" si="64"/>
        <v>3.6054386841838641E-2</v>
      </c>
      <c r="T36" s="18" t="str">
        <f t="shared" si="52"/>
        <v>1+0.000168326748619127i</v>
      </c>
      <c r="U36" s="18">
        <f t="shared" si="65"/>
        <v>1.0000000141669472</v>
      </c>
      <c r="V36" s="18">
        <f t="shared" si="66"/>
        <v>1.6832674702934293E-4</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23.2731426391128-0.843616134979803i</v>
      </c>
      <c r="AD36" s="66">
        <f t="shared" si="72"/>
        <v>27.342803303337831</v>
      </c>
      <c r="AE36" s="63">
        <f t="shared" si="73"/>
        <v>-2.075976211676958</v>
      </c>
      <c r="AF36" s="51" t="e">
        <f t="shared" si="74"/>
        <v>#NUM!</v>
      </c>
      <c r="AG36" s="51" t="str">
        <f t="shared" si="55"/>
        <v>1-0.0504980245857382i</v>
      </c>
      <c r="AH36" s="51">
        <f t="shared" si="75"/>
        <v>1.0012742134335937</v>
      </c>
      <c r="AI36" s="51">
        <f t="shared" si="76"/>
        <v>-5.0455165970901078E-2</v>
      </c>
      <c r="AJ36" s="51" t="str">
        <f t="shared" si="56"/>
        <v>1+0.000168326748619127i</v>
      </c>
      <c r="AK36" s="51">
        <f t="shared" si="77"/>
        <v>1.0000000141669472</v>
      </c>
      <c r="AL36" s="51">
        <f t="shared" si="78"/>
        <v>1.6832674702934293E-4</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24.6288862212436+1100.09032111498i</v>
      </c>
      <c r="BG36" s="66">
        <f t="shared" si="94"/>
        <v>60.830743121025812</v>
      </c>
      <c r="BH36" s="63">
        <f t="shared" si="95"/>
        <v>88.717472998754019</v>
      </c>
      <c r="BI36" s="60" t="e">
        <f t="shared" si="96"/>
        <v>#NUM!</v>
      </c>
      <c r="BJ36" s="66" t="e">
        <f t="shared" si="97"/>
        <v>#NUM!</v>
      </c>
      <c r="BK36" s="63" t="e">
        <f t="shared" si="98"/>
        <v>#NUM!</v>
      </c>
      <c r="BL36" s="51">
        <f t="shared" si="99"/>
        <v>60.830743121025812</v>
      </c>
      <c r="BM36" s="63">
        <f t="shared" si="100"/>
        <v>88.717472998754019</v>
      </c>
    </row>
    <row r="37" spans="1:65" x14ac:dyDescent="0.3">
      <c r="B37" s="1"/>
      <c r="C37" t="s">
        <v>235</v>
      </c>
      <c r="E37" t="s">
        <v>234</v>
      </c>
      <c r="N37" s="11">
        <v>19</v>
      </c>
      <c r="O37" s="52">
        <f t="shared" si="62"/>
        <v>15.488166189124817</v>
      </c>
      <c r="P37" s="50" t="str">
        <f t="shared" si="50"/>
        <v>23.3035714285714</v>
      </c>
      <c r="Q37" s="18" t="str">
        <f t="shared" si="51"/>
        <v>1+0.0369101962018621i</v>
      </c>
      <c r="R37" s="18">
        <f t="shared" si="63"/>
        <v>1.000680949445756</v>
      </c>
      <c r="S37" s="18">
        <f t="shared" si="64"/>
        <v>3.6893448199755915E-2</v>
      </c>
      <c r="T37" s="18" t="str">
        <f t="shared" si="52"/>
        <v>1+0.000172247582275357i</v>
      </c>
      <c r="U37" s="18">
        <f t="shared" si="65"/>
        <v>1.0000000148346146</v>
      </c>
      <c r="V37" s="18">
        <f t="shared" si="66"/>
        <v>1.7224758057187266E-4</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23.2717105255046-0.863213619508254i</v>
      </c>
      <c r="AD37" s="66">
        <f t="shared" si="72"/>
        <v>27.342537378247034</v>
      </c>
      <c r="AE37" s="63">
        <f t="shared" si="73"/>
        <v>-2.1242887545630444</v>
      </c>
      <c r="AF37" s="51" t="e">
        <f t="shared" si="74"/>
        <v>#NUM!</v>
      </c>
      <c r="AG37" s="51" t="str">
        <f t="shared" si="55"/>
        <v>1-0.0516742746826071i</v>
      </c>
      <c r="AH37" s="51">
        <f t="shared" si="75"/>
        <v>1.0013342252534732</v>
      </c>
      <c r="AI37" s="51">
        <f t="shared" si="76"/>
        <v>-5.1628354153630124E-2</v>
      </c>
      <c r="AJ37" s="51" t="str">
        <f t="shared" si="56"/>
        <v>1+0.000172247582275357i</v>
      </c>
      <c r="AK37" s="51">
        <f t="shared" si="77"/>
        <v>1.0000000148346146</v>
      </c>
      <c r="AL37" s="51">
        <f t="shared" si="78"/>
        <v>1.7224758057187266E-4</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24.6274031961099+1075.00901511131i</v>
      </c>
      <c r="BG37" s="66">
        <f t="shared" si="94"/>
        <v>60.630520806218186</v>
      </c>
      <c r="BH37" s="63">
        <f t="shared" si="95"/>
        <v>88.687639385870796</v>
      </c>
      <c r="BI37" s="60" t="e">
        <f t="shared" si="96"/>
        <v>#NUM!</v>
      </c>
      <c r="BJ37" s="66" t="e">
        <f t="shared" si="97"/>
        <v>#NUM!</v>
      </c>
      <c r="BK37" s="63" t="e">
        <f t="shared" si="98"/>
        <v>#NUM!</v>
      </c>
      <c r="BL37" s="51">
        <f t="shared" si="99"/>
        <v>60.630520806218186</v>
      </c>
      <c r="BM37" s="63">
        <f t="shared" si="100"/>
        <v>88.687639385870796</v>
      </c>
    </row>
    <row r="38" spans="1:65" x14ac:dyDescent="0.3">
      <c r="A38" t="s">
        <v>215</v>
      </c>
      <c r="B38" s="30">
        <f>((VOUT/IOUT)*((1-DC_VIN_Var)^2))/(Lm*DC_VIN_Var)</f>
        <v>409090.90909090912</v>
      </c>
      <c r="C38" t="s">
        <v>213</v>
      </c>
      <c r="E38" t="s">
        <v>205</v>
      </c>
      <c r="N38" s="11">
        <v>20</v>
      </c>
      <c r="O38" s="52">
        <f t="shared" si="62"/>
        <v>15.848931924611136</v>
      </c>
      <c r="P38" s="50" t="str">
        <f t="shared" si="50"/>
        <v>23.3035714285714</v>
      </c>
      <c r="Q38" s="18" t="str">
        <f t="shared" si="51"/>
        <v>1+0.0377699451170732i</v>
      </c>
      <c r="R38" s="18">
        <f t="shared" si="63"/>
        <v>1.0007130301710609</v>
      </c>
      <c r="S38" s="18">
        <f t="shared" si="64"/>
        <v>3.7752000000020138E-2</v>
      </c>
      <c r="T38" s="18" t="str">
        <f t="shared" si="52"/>
        <v>1+0.000176259743879675i</v>
      </c>
      <c r="U38" s="18">
        <f t="shared" si="65"/>
        <v>1.0000000155337485</v>
      </c>
      <c r="V38" s="18">
        <f t="shared" si="66"/>
        <v>1.7625974205435864E-4</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23.2702111064278-0.883263814710771i</v>
      </c>
      <c r="AD38" s="66">
        <f t="shared" si="72"/>
        <v>27.342258937945804</v>
      </c>
      <c r="AE38" s="63">
        <f t="shared" si="73"/>
        <v>-2.1737235582009262</v>
      </c>
      <c r="AF38" s="51" t="e">
        <f t="shared" si="74"/>
        <v>#NUM!</v>
      </c>
      <c r="AG38" s="51" t="str">
        <f t="shared" si="55"/>
        <v>1-0.0528779231639026i</v>
      </c>
      <c r="AH38" s="51">
        <f t="shared" si="75"/>
        <v>1.0013970614886623</v>
      </c>
      <c r="AI38" s="51">
        <f t="shared" si="76"/>
        <v>-5.2828722137339336E-2</v>
      </c>
      <c r="AJ38" s="51" t="str">
        <f t="shared" si="56"/>
        <v>1+0.000176259743879675i</v>
      </c>
      <c r="AK38" s="51">
        <f t="shared" si="77"/>
        <v>1.0000000155337485</v>
      </c>
      <c r="AL38" s="51">
        <f t="shared" si="78"/>
        <v>1.7625974205435864E-4</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24.6258504728024+1050.49769827037i</v>
      </c>
      <c r="BG38" s="66">
        <f t="shared" si="94"/>
        <v>60.430288031017469</v>
      </c>
      <c r="BH38" s="63">
        <f t="shared" si="95"/>
        <v>88.657113736134619</v>
      </c>
      <c r="BI38" s="60" t="e">
        <f t="shared" si="96"/>
        <v>#NUM!</v>
      </c>
      <c r="BJ38" s="66" t="e">
        <f t="shared" si="97"/>
        <v>#NUM!</v>
      </c>
      <c r="BK38" s="63" t="e">
        <f t="shared" si="98"/>
        <v>#NUM!</v>
      </c>
      <c r="BL38" s="51">
        <f t="shared" si="99"/>
        <v>60.430288031017469</v>
      </c>
      <c r="BM38" s="63">
        <f t="shared" si="100"/>
        <v>88.657113736134619</v>
      </c>
    </row>
    <row r="39" spans="1:65" x14ac:dyDescent="0.3">
      <c r="A39" s="32"/>
      <c r="B39" s="1">
        <f>wz_rhp/2*PI()</f>
        <v>642598.49732518499</v>
      </c>
      <c r="C39" s="32" t="s">
        <v>67</v>
      </c>
      <c r="D39" s="32"/>
      <c r="E39" s="32"/>
      <c r="F39" s="32"/>
      <c r="G39" s="32"/>
      <c r="N39" s="11">
        <v>21</v>
      </c>
      <c r="O39" s="52">
        <f t="shared" si="62"/>
        <v>16.218100973589298</v>
      </c>
      <c r="P39" s="50" t="str">
        <f t="shared" si="50"/>
        <v>23.3035714285714</v>
      </c>
      <c r="Q39" s="18" t="str">
        <f t="shared" si="51"/>
        <v>1+0.0386497201571296i</v>
      </c>
      <c r="R39" s="18">
        <f t="shared" si="63"/>
        <v>1.0007466217121217</v>
      </c>
      <c r="S39" s="18">
        <f t="shared" si="64"/>
        <v>3.8630492392484873E-2</v>
      </c>
      <c r="T39" s="18" t="str">
        <f t="shared" si="52"/>
        <v>1+0.000180365360733272i</v>
      </c>
      <c r="U39" s="18">
        <f t="shared" si="65"/>
        <v>1.0000000162658316</v>
      </c>
      <c r="V39" s="18">
        <f t="shared" si="66"/>
        <v>1.803653587774103E-4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23.2686412279683-0.903776996568666i</v>
      </c>
      <c r="AD39" s="66">
        <f t="shared" si="72"/>
        <v>27.341967394291782</v>
      </c>
      <c r="AE39" s="63">
        <f t="shared" si="73"/>
        <v>-2.2243065433359552</v>
      </c>
      <c r="AF39" s="51" t="e">
        <f t="shared" si="74"/>
        <v>#NUM!</v>
      </c>
      <c r="AG39" s="51" t="str">
        <f t="shared" si="55"/>
        <v>1-0.0541096082199816i</v>
      </c>
      <c r="AH39" s="51">
        <f t="shared" si="75"/>
        <v>1.0014628548786619</v>
      </c>
      <c r="AI39" s="51">
        <f t="shared" si="76"/>
        <v>-5.4056892528451486E-2</v>
      </c>
      <c r="AJ39" s="51" t="str">
        <f t="shared" si="56"/>
        <v>1+0.000180365360733272i</v>
      </c>
      <c r="AK39" s="51">
        <f t="shared" si="77"/>
        <v>1.0000000162658316</v>
      </c>
      <c r="AL39" s="51">
        <f t="shared" si="78"/>
        <v>1.803653587774103E-4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24.6242247852846+1026.54337473504i</v>
      </c>
      <c r="BG39" s="66">
        <f t="shared" si="94"/>
        <v>60.230044304076387</v>
      </c>
      <c r="BH39" s="63">
        <f t="shared" si="95"/>
        <v>88.625880135297024</v>
      </c>
      <c r="BI39" s="60" t="e">
        <f t="shared" si="96"/>
        <v>#NUM!</v>
      </c>
      <c r="BJ39" s="66" t="e">
        <f t="shared" si="97"/>
        <v>#NUM!</v>
      </c>
      <c r="BK39" s="63" t="e">
        <f t="shared" si="98"/>
        <v>#NUM!</v>
      </c>
      <c r="BL39" s="51">
        <f t="shared" si="99"/>
        <v>60.230044304076387</v>
      </c>
      <c r="BM39" s="63">
        <f t="shared" si="100"/>
        <v>88.625880135297024</v>
      </c>
    </row>
    <row r="40" spans="1:65" x14ac:dyDescent="0.3">
      <c r="A40" s="32"/>
      <c r="B40" s="1"/>
      <c r="C40" s="32"/>
      <c r="D40" s="32"/>
      <c r="E40" s="32"/>
      <c r="F40" s="32"/>
      <c r="G40" s="32"/>
      <c r="N40" s="11">
        <v>22</v>
      </c>
      <c r="O40" s="52">
        <f t="shared" si="62"/>
        <v>16.595869074375614</v>
      </c>
      <c r="P40" s="50" t="str">
        <f t="shared" si="50"/>
        <v>23.3035714285714</v>
      </c>
      <c r="Q40" s="18" t="str">
        <f t="shared" si="51"/>
        <v>1+0.0395499877904031i</v>
      </c>
      <c r="R40" s="18">
        <f t="shared" si="63"/>
        <v>1.0007817951652702</v>
      </c>
      <c r="S40" s="18">
        <f t="shared" si="64"/>
        <v>3.9529385738545954E-2</v>
      </c>
      <c r="T40" s="18" t="str">
        <f t="shared" si="52"/>
        <v>1+0.000184566609688548i</v>
      </c>
      <c r="U40" s="18">
        <f t="shared" si="65"/>
        <v>1.0000000170324166</v>
      </c>
      <c r="V40" s="18">
        <f t="shared" si="66"/>
        <v>1.8456660759280443E-4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23.2669975893128-0.924763661287845i</v>
      </c>
      <c r="AD40" s="66">
        <f t="shared" si="72"/>
        <v>27.341662131586286</v>
      </c>
      <c r="AE40" s="63">
        <f t="shared" si="73"/>
        <v>-2.2760642187979503</v>
      </c>
      <c r="AF40" s="51" t="e">
        <f t="shared" si="74"/>
        <v>#NUM!</v>
      </c>
      <c r="AG40" s="51" t="str">
        <f t="shared" si="55"/>
        <v>1-0.0553699829065644i</v>
      </c>
      <c r="AH40" s="51">
        <f t="shared" si="75"/>
        <v>1.0015317443831089</v>
      </c>
      <c r="AI40" s="51">
        <f t="shared" si="76"/>
        <v>-5.5313501690159993E-2</v>
      </c>
      <c r="AJ40" s="51" t="str">
        <f t="shared" si="56"/>
        <v>1+0.000184566609688548i</v>
      </c>
      <c r="AK40" s="51">
        <f t="shared" si="77"/>
        <v>1.0000000170324166</v>
      </c>
      <c r="AL40" s="51">
        <f t="shared" si="78"/>
        <v>1.8456660759280443E-4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24.6225227154003+1003.13334399958i</v>
      </c>
      <c r="BG40" s="66">
        <f t="shared" si="94"/>
        <v>60.029789111048693</v>
      </c>
      <c r="BH40" s="63">
        <f t="shared" si="95"/>
        <v>88.59392231305516</v>
      </c>
      <c r="BI40" s="60" t="e">
        <f t="shared" si="96"/>
        <v>#NUM!</v>
      </c>
      <c r="BJ40" s="66" t="e">
        <f t="shared" si="97"/>
        <v>#NUM!</v>
      </c>
      <c r="BK40" s="63" t="e">
        <f t="shared" si="98"/>
        <v>#NUM!</v>
      </c>
      <c r="BL40" s="51">
        <f t="shared" si="99"/>
        <v>60.029789111048693</v>
      </c>
      <c r="BM40" s="63">
        <f t="shared" si="100"/>
        <v>88.59392231305516</v>
      </c>
    </row>
    <row r="41" spans="1:65" x14ac:dyDescent="0.3">
      <c r="A41" t="s">
        <v>216</v>
      </c>
      <c r="B41" s="30">
        <f>1/(Cout*Resr)</f>
        <v>564971.75141242938</v>
      </c>
      <c r="C41" t="s">
        <v>213</v>
      </c>
      <c r="E41" t="s">
        <v>206</v>
      </c>
      <c r="N41" s="11">
        <v>23</v>
      </c>
      <c r="O41" s="52">
        <f t="shared" si="62"/>
        <v>16.982436524617448</v>
      </c>
      <c r="P41" s="50" t="str">
        <f t="shared" si="50"/>
        <v>23.3035714285714</v>
      </c>
      <c r="Q41" s="18" t="str">
        <f t="shared" si="51"/>
        <v>1+0.0404712253507087i</v>
      </c>
      <c r="R41" s="18">
        <f t="shared" si="63"/>
        <v>1.0008186249672755</v>
      </c>
      <c r="S41" s="18">
        <f t="shared" si="64"/>
        <v>4.0449150829525368E-2</v>
      </c>
      <c r="T41" s="18" t="str">
        <f t="shared" si="52"/>
        <v>1+0.000188865718303307i</v>
      </c>
      <c r="U41" s="18">
        <f t="shared" si="65"/>
        <v>1.0000000178351296</v>
      </c>
      <c r="V41" s="18">
        <f t="shared" si="66"/>
        <v>1.8886571605767732E-4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23.2652767359918-0.946234529072768i</v>
      </c>
      <c r="AD41" s="66">
        <f t="shared" si="72"/>
        <v>27.341342505290847</v>
      </c>
      <c r="AE41" s="63">
        <f t="shared" si="73"/>
        <v>-2.3290236940836482</v>
      </c>
      <c r="AF41" s="51" t="e">
        <f t="shared" si="74"/>
        <v>#NUM!</v>
      </c>
      <c r="AG41" s="51" t="str">
        <f t="shared" si="55"/>
        <v>1-0.0566597154909923i</v>
      </c>
      <c r="AH41" s="51">
        <f t="shared" si="75"/>
        <v>1.001603875471496</v>
      </c>
      <c r="AI41" s="51">
        <f t="shared" si="76"/>
        <v>-5.6599200010124424E-2</v>
      </c>
      <c r="AJ41" s="51" t="str">
        <f t="shared" si="56"/>
        <v>1+0.000188865718303307i</v>
      </c>
      <c r="AK41" s="51">
        <f t="shared" si="77"/>
        <v>1.0000000178351296</v>
      </c>
      <c r="AL41" s="51">
        <f t="shared" si="78"/>
        <v>1.8886571605767732E-4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24.6207406858729+980.255194177479i</v>
      </c>
      <c r="BG41" s="66">
        <f t="shared" si="94"/>
        <v>59.829521913520082</v>
      </c>
      <c r="BH41" s="63">
        <f t="shared" si="95"/>
        <v>88.561223635798996</v>
      </c>
      <c r="BI41" s="60" t="e">
        <f t="shared" si="96"/>
        <v>#NUM!</v>
      </c>
      <c r="BJ41" s="66" t="e">
        <f t="shared" si="97"/>
        <v>#NUM!</v>
      </c>
      <c r="BK41" s="63" t="e">
        <f t="shared" si="98"/>
        <v>#NUM!</v>
      </c>
      <c r="BL41" s="51">
        <f t="shared" si="99"/>
        <v>59.829521913520082</v>
      </c>
      <c r="BM41" s="63">
        <f t="shared" si="100"/>
        <v>88.561223635798996</v>
      </c>
    </row>
    <row r="42" spans="1:65" s="32" customFormat="1" x14ac:dyDescent="0.3">
      <c r="B42" s="30"/>
      <c r="K42"/>
      <c r="N42" s="11">
        <v>24</v>
      </c>
      <c r="O42" s="52">
        <f t="shared" si="62"/>
        <v>17.378008287493756</v>
      </c>
      <c r="P42" s="50" t="str">
        <f t="shared" si="50"/>
        <v>23.3035714285714</v>
      </c>
      <c r="Q42" s="18" t="str">
        <f t="shared" si="51"/>
        <v>1+0.0414139212903956i</v>
      </c>
      <c r="R42" s="18">
        <f t="shared" si="63"/>
        <v>1.0008571890517883</v>
      </c>
      <c r="S42" s="18">
        <f t="shared" si="64"/>
        <v>4.1390269108766448E-2</v>
      </c>
      <c r="T42" s="18" t="str">
        <f t="shared" si="52"/>
        <v>1+0.000193264966021846i</v>
      </c>
      <c r="U42" s="18">
        <f t="shared" si="65"/>
        <v>1.0000000186756735</v>
      </c>
      <c r="V42" s="18">
        <f t="shared" si="66"/>
        <v>1.9326496361561044E-4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23.2634750528224-0.968200547893107i</v>
      </c>
      <c r="AD42" s="66">
        <f t="shared" si="72"/>
        <v>27.341007840685624</v>
      </c>
      <c r="AE42" s="63">
        <f t="shared" si="73"/>
        <v>-2.3832126921534593</v>
      </c>
      <c r="AF42" s="51" t="e">
        <f t="shared" si="74"/>
        <v>#NUM!</v>
      </c>
      <c r="AG42" s="51" t="str">
        <f t="shared" si="55"/>
        <v>1-0.057979489806554i</v>
      </c>
      <c r="AH42" s="51">
        <f t="shared" si="75"/>
        <v>1.0016794004262184</v>
      </c>
      <c r="AI42" s="51">
        <f t="shared" si="76"/>
        <v>-5.7914652170703795E-2</v>
      </c>
      <c r="AJ42" s="51" t="str">
        <f t="shared" si="56"/>
        <v>1+0.000193264966021846i</v>
      </c>
      <c r="AK42" s="51">
        <f t="shared" si="77"/>
        <v>1.0000000186756735</v>
      </c>
      <c r="AL42" s="51">
        <f t="shared" si="78"/>
        <v>1.9326496361561044E-4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24.6188749529999+957.896795422572i</v>
      </c>
      <c r="BG42" s="66">
        <f t="shared" si="94"/>
        <v>59.629242147891205</v>
      </c>
      <c r="BH42" s="63">
        <f t="shared" si="95"/>
        <v>88.527767099262846</v>
      </c>
      <c r="BI42" s="60" t="e">
        <f t="shared" si="96"/>
        <v>#NUM!</v>
      </c>
      <c r="BJ42" s="66" t="e">
        <f t="shared" si="97"/>
        <v>#NUM!</v>
      </c>
      <c r="BK42" s="63" t="e">
        <f t="shared" si="98"/>
        <v>#NUM!</v>
      </c>
      <c r="BL42" s="51">
        <f t="shared" si="99"/>
        <v>59.629242147891205</v>
      </c>
      <c r="BM42" s="63">
        <f t="shared" si="100"/>
        <v>88.527767099262846</v>
      </c>
    </row>
    <row r="43" spans="1:65" s="32" customFormat="1" x14ac:dyDescent="0.3">
      <c r="A43"/>
      <c r="B43" s="1"/>
      <c r="C43"/>
      <c r="D43"/>
      <c r="E43"/>
      <c r="F43"/>
      <c r="G43"/>
      <c r="N43" s="11">
        <v>25</v>
      </c>
      <c r="O43" s="52">
        <f t="shared" si="62"/>
        <v>17.782794100389236</v>
      </c>
      <c r="P43" s="50" t="str">
        <f t="shared" si="50"/>
        <v>23.3035714285714</v>
      </c>
      <c r="Q43" s="18" t="str">
        <f t="shared" si="51"/>
        <v>1+0.0423785754393283i</v>
      </c>
      <c r="R43" s="18">
        <f t="shared" si="63"/>
        <v>1.0008975690130668</v>
      </c>
      <c r="S43" s="18">
        <f t="shared" si="64"/>
        <v>4.2353232897420857E-2</v>
      </c>
      <c r="T43" s="18" t="str">
        <f t="shared" si="52"/>
        <v>1+0.000197766685383532i</v>
      </c>
      <c r="U43" s="18">
        <f t="shared" si="65"/>
        <v>1.0000000195558307</v>
      </c>
      <c r="V43" s="18">
        <f t="shared" si="66"/>
        <v>1.9776668280520416E-4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23.2615887565329-0.990672897235895i</v>
      </c>
      <c r="AD43" s="66">
        <f t="shared" si="72"/>
        <v>27.340657431465047</v>
      </c>
      <c r="AE43" s="63">
        <f t="shared" si="73"/>
        <v>-2.4386595624414973</v>
      </c>
      <c r="AF43" s="51" t="e">
        <f t="shared" si="74"/>
        <v>#NUM!</v>
      </c>
      <c r="AG43" s="51" t="str">
        <f t="shared" si="55"/>
        <v>1-0.0593300056150598i</v>
      </c>
      <c r="AH43" s="51">
        <f t="shared" si="75"/>
        <v>1.0017584786595435</v>
      </c>
      <c r="AI43" s="51">
        <f t="shared" si="76"/>
        <v>-5.9260537421521778E-2</v>
      </c>
      <c r="AJ43" s="51" t="str">
        <f t="shared" si="56"/>
        <v>1+0.000197766685383532i</v>
      </c>
      <c r="AK43" s="51">
        <f t="shared" si="77"/>
        <v>1.0000000195558307</v>
      </c>
      <c r="AL43" s="51">
        <f t="shared" si="78"/>
        <v>1.9776668280520416E-4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24.6169215990144+936.046293499672i</v>
      </c>
      <c r="BG43" s="66">
        <f t="shared" si="94"/>
        <v>59.428949224208154</v>
      </c>
      <c r="BH43" s="63">
        <f t="shared" si="95"/>
        <v>88.493535321084877</v>
      </c>
      <c r="BI43" s="60" t="e">
        <f t="shared" si="96"/>
        <v>#NUM!</v>
      </c>
      <c r="BJ43" s="66" t="e">
        <f t="shared" si="97"/>
        <v>#NUM!</v>
      </c>
      <c r="BK43" s="63" t="e">
        <f t="shared" si="98"/>
        <v>#NUM!</v>
      </c>
      <c r="BL43" s="51">
        <f t="shared" si="99"/>
        <v>59.428949224208154</v>
      </c>
      <c r="BM43" s="63">
        <f t="shared" si="100"/>
        <v>88.493535321084877</v>
      </c>
    </row>
    <row r="44" spans="1:65" s="32" customFormat="1" x14ac:dyDescent="0.3">
      <c r="A44" s="32" t="s">
        <v>209</v>
      </c>
      <c r="B44" s="1">
        <f>(Isl*(Rsl_int+R_sl)*Fsw)</f>
        <v>39990</v>
      </c>
      <c r="C44" s="32" t="s">
        <v>147</v>
      </c>
      <c r="E44" s="32" t="s">
        <v>210</v>
      </c>
      <c r="N44" s="11">
        <v>26</v>
      </c>
      <c r="O44" s="52">
        <f t="shared" si="62"/>
        <v>18.197008586099841</v>
      </c>
      <c r="P44" s="50" t="str">
        <f t="shared" si="50"/>
        <v>23.3035714285714</v>
      </c>
      <c r="Q44" s="18" t="str">
        <f t="shared" si="51"/>
        <v>1+0.043365699269906i</v>
      </c>
      <c r="R44" s="18">
        <f t="shared" si="63"/>
        <v>1.0009398502773121</v>
      </c>
      <c r="S44" s="18">
        <f t="shared" si="64"/>
        <v>4.3338545623920671E-2</v>
      </c>
      <c r="T44" s="18" t="str">
        <f t="shared" si="52"/>
        <v>1+0.000202373263259561i</v>
      </c>
      <c r="U44" s="18">
        <f t="shared" si="65"/>
        <v>1.0000000204774686</v>
      </c>
      <c r="V44" s="18">
        <f t="shared" si="66"/>
        <v>2.0237326049683295E-4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23.2596138880621-1.01366299183616i</v>
      </c>
      <c r="AD44" s="66">
        <f t="shared" si="72"/>
        <v>27.340290538270246</v>
      </c>
      <c r="AE44" s="63">
        <f t="shared" si="73"/>
        <v>-2.4953932940783305</v>
      </c>
      <c r="AF44" s="51" t="e">
        <f t="shared" si="74"/>
        <v>#NUM!</v>
      </c>
      <c r="AG44" s="51" t="str">
        <f t="shared" si="55"/>
        <v>1-0.0607119789778685i</v>
      </c>
      <c r="AH44" s="51">
        <f t="shared" si="75"/>
        <v>1.0018412770451262</v>
      </c>
      <c r="AI44" s="51">
        <f t="shared" si="76"/>
        <v>-6.0637549854157244E-2</v>
      </c>
      <c r="AJ44" s="51" t="str">
        <f t="shared" si="56"/>
        <v>1+0.000202373263259561i</v>
      </c>
      <c r="AK44" s="51">
        <f t="shared" si="77"/>
        <v>1.0000000204774686</v>
      </c>
      <c r="AL44" s="51">
        <f t="shared" si="78"/>
        <v>2.0237326049683295E-4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24.6148765241103+914.692103501618i</v>
      </c>
      <c r="BG44" s="66">
        <f t="shared" si="94"/>
        <v>59.228642524940661</v>
      </c>
      <c r="BH44" s="63">
        <f t="shared" si="95"/>
        <v>88.458510533277419</v>
      </c>
      <c r="BI44" s="60" t="e">
        <f t="shared" si="96"/>
        <v>#NUM!</v>
      </c>
      <c r="BJ44" s="66" t="e">
        <f t="shared" si="97"/>
        <v>#NUM!</v>
      </c>
      <c r="BK44" s="63" t="e">
        <f t="shared" si="98"/>
        <v>#NUM!</v>
      </c>
      <c r="BL44" s="51">
        <f t="shared" si="99"/>
        <v>59.228642524940661</v>
      </c>
      <c r="BM44" s="63">
        <f t="shared" si="100"/>
        <v>88.458510533277419</v>
      </c>
    </row>
    <row r="45" spans="1:65" x14ac:dyDescent="0.3">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1+0.0443758161682494i</v>
      </c>
      <c r="R45" s="18">
        <f t="shared" si="63"/>
        <v>1.0009841222819662</v>
      </c>
      <c r="S45" s="18">
        <f t="shared" si="64"/>
        <v>4.4346722057098657E-2</v>
      </c>
      <c r="T45" s="18" t="str">
        <f t="shared" si="52"/>
        <v>1+0.000207087142118497i</v>
      </c>
      <c r="U45" s="18">
        <f t="shared" si="65"/>
        <v>1.000000021442542</v>
      </c>
      <c r="V45" s="18">
        <f t="shared" si="66"/>
        <v>2.0708713915818053E-4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23.2575463045143-1.03718248537757i</v>
      </c>
      <c r="AD45" s="66">
        <f t="shared" si="72"/>
        <v>27.339906387153409</v>
      </c>
      <c r="AE45" s="63">
        <f t="shared" si="73"/>
        <v>-2.5534435293245963</v>
      </c>
      <c r="AF45" s="51" t="e">
        <f t="shared" si="74"/>
        <v>#NUM!</v>
      </c>
      <c r="AG45" s="51" t="str">
        <f t="shared" si="55"/>
        <v>1-0.0621261426355493i</v>
      </c>
      <c r="AH45" s="51">
        <f t="shared" si="75"/>
        <v>1.0019279702647155</v>
      </c>
      <c r="AI45" s="51">
        <f t="shared" si="76"/>
        <v>-6.2046398678703527E-2</v>
      </c>
      <c r="AJ45" s="51" t="str">
        <f t="shared" si="56"/>
        <v>1+0.000207087142118497i</v>
      </c>
      <c r="AK45" s="51">
        <f t="shared" si="77"/>
        <v>1.000000021442542</v>
      </c>
      <c r="AL45" s="51">
        <f t="shared" si="78"/>
        <v>2.0708713915818053E-4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24.6127354381125+893.822903709241i</v>
      </c>
      <c r="BG45" s="66">
        <f t="shared" si="94"/>
        <v>59.028321403704425</v>
      </c>
      <c r="BH45" s="63">
        <f t="shared" si="95"/>
        <v>88.422674574612486</v>
      </c>
      <c r="BI45" s="60" t="e">
        <f t="shared" si="96"/>
        <v>#NUM!</v>
      </c>
      <c r="BJ45" s="66" t="e">
        <f t="shared" si="97"/>
        <v>#NUM!</v>
      </c>
      <c r="BK45" s="63" t="e">
        <f t="shared" si="98"/>
        <v>#NUM!</v>
      </c>
      <c r="BL45" s="51">
        <f t="shared" si="99"/>
        <v>59.028321403704425</v>
      </c>
      <c r="BM45" s="63">
        <f t="shared" si="100"/>
        <v>88.422674574612486</v>
      </c>
    </row>
    <row r="46" spans="1:65" x14ac:dyDescent="0.3">
      <c r="B46" s="1"/>
      <c r="K46" s="32"/>
      <c r="N46" s="11">
        <v>28</v>
      </c>
      <c r="O46" s="52">
        <f t="shared" si="62"/>
        <v>19.054607179632477</v>
      </c>
      <c r="P46" s="50" t="str">
        <f t="shared" si="50"/>
        <v>23.3035714285714</v>
      </c>
      <c r="Q46" s="18" t="str">
        <f t="shared" si="51"/>
        <v>1+0.0454094617117086i</v>
      </c>
      <c r="R46" s="18">
        <f t="shared" si="63"/>
        <v>1.0010304786633357</v>
      </c>
      <c r="S46" s="18">
        <f t="shared" si="64"/>
        <v>4.5378288542933361E-2</v>
      </c>
      <c r="T46" s="18" t="str">
        <f t="shared" si="52"/>
        <v>1+0.000211910821321307i</v>
      </c>
      <c r="U46" s="18">
        <f t="shared" si="65"/>
        <v>1.0000000224530978</v>
      </c>
      <c r="V46" s="18">
        <f t="shared" si="66"/>
        <v>2.1191081814927077E-4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23.2553816707597-1.06124327415465i</v>
      </c>
      <c r="AD46" s="66">
        <f t="shared" si="72"/>
        <v>27.339504167972436</v>
      </c>
      <c r="AE46" s="63">
        <f t="shared" si="73"/>
        <v>-2.6128405772140297</v>
      </c>
      <c r="AF46" s="51" t="e">
        <f t="shared" si="74"/>
        <v>#NUM!</v>
      </c>
      <c r="AG46" s="51" t="str">
        <f t="shared" si="55"/>
        <v>1-0.0635732463963922i</v>
      </c>
      <c r="AH46" s="51">
        <f t="shared" si="75"/>
        <v>1.0020187411707311</v>
      </c>
      <c r="AI46" s="51">
        <f t="shared" si="76"/>
        <v>-6.3487808501940635E-2</v>
      </c>
      <c r="AJ46" s="51" t="str">
        <f t="shared" si="56"/>
        <v>1+0.000211910821321307i</v>
      </c>
      <c r="AK46" s="51">
        <f t="shared" si="77"/>
        <v>1.0000000224530978</v>
      </c>
      <c r="AL46" s="51">
        <f t="shared" si="78"/>
        <v>2.1191081814927077E-4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24.6104938517767+873.427629591024i</v>
      </c>
      <c r="BG46" s="66">
        <f t="shared" si="94"/>
        <v>58.827985183924916</v>
      </c>
      <c r="BH46" s="63">
        <f t="shared" si="95"/>
        <v>88.386008882926305</v>
      </c>
      <c r="BI46" s="60" t="e">
        <f t="shared" si="96"/>
        <v>#NUM!</v>
      </c>
      <c r="BJ46" s="66" t="e">
        <f t="shared" si="97"/>
        <v>#NUM!</v>
      </c>
      <c r="BK46" s="63" t="e">
        <f t="shared" si="98"/>
        <v>#NUM!</v>
      </c>
      <c r="BL46" s="51">
        <f t="shared" si="99"/>
        <v>58.827985183924916</v>
      </c>
      <c r="BM46" s="63">
        <f t="shared" si="100"/>
        <v>88.386008882926305</v>
      </c>
    </row>
    <row r="47" spans="1:65" x14ac:dyDescent="0.3">
      <c r="A47" t="s">
        <v>207</v>
      </c>
      <c r="B47" s="1">
        <f>2*PI()*Fsw</f>
        <v>6283185.307179586</v>
      </c>
      <c r="C47" t="s">
        <v>213</v>
      </c>
      <c r="N47" s="11">
        <v>29</v>
      </c>
      <c r="O47" s="52">
        <f t="shared" si="62"/>
        <v>19.498445997580465</v>
      </c>
      <c r="P47" s="50" t="str">
        <f t="shared" si="50"/>
        <v>23.3035714285714</v>
      </c>
      <c r="Q47" s="18" t="str">
        <f t="shared" si="51"/>
        <v>1+0.0464671839528327i</v>
      </c>
      <c r="R47" s="18">
        <f t="shared" si="63"/>
        <v>1.0010790174529214</v>
      </c>
      <c r="S47" s="18">
        <f t="shared" si="64"/>
        <v>4.6433783244869686E-2</v>
      </c>
      <c r="T47" s="18" t="str">
        <f t="shared" si="52"/>
        <v>1+0.000216846858446553i</v>
      </c>
      <c r="U47" s="18">
        <f t="shared" si="65"/>
        <v>1.0000000235112798</v>
      </c>
      <c r="V47" s="18">
        <f t="shared" si="66"/>
        <v>2.1684685504765494E-4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23.2531154506635-1.08585750068686i</v>
      </c>
      <c r="AD47" s="66">
        <f t="shared" si="72"/>
        <v>27.339083032712136</v>
      </c>
      <c r="AE47" s="63">
        <f t="shared" si="73"/>
        <v>-2.6736154274032771</v>
      </c>
      <c r="AF47" s="51" t="e">
        <f t="shared" si="74"/>
        <v>#NUM!</v>
      </c>
      <c r="AG47" s="51" t="str">
        <f t="shared" si="55"/>
        <v>1-0.065054057533966i</v>
      </c>
      <c r="AH47" s="51">
        <f t="shared" si="75"/>
        <v>1.0021137811654086</v>
      </c>
      <c r="AI47" s="51">
        <f t="shared" si="76"/>
        <v>-6.4962519606818883E-2</v>
      </c>
      <c r="AJ47" s="51" t="str">
        <f t="shared" si="56"/>
        <v>1+0.000216846858446553i</v>
      </c>
      <c r="AK47" s="51">
        <f t="shared" si="77"/>
        <v>1.0000000235112798</v>
      </c>
      <c r="AL47" s="51">
        <f t="shared" si="78"/>
        <v>2.1684685504765494E-4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24.6081470677085+853.495467939357i</v>
      </c>
      <c r="BG47" s="66">
        <f t="shared" si="94"/>
        <v>58.627633157441082</v>
      </c>
      <c r="BH47" s="63">
        <f t="shared" si="95"/>
        <v>88.348494487348077</v>
      </c>
      <c r="BI47" s="60" t="e">
        <f t="shared" si="96"/>
        <v>#NUM!</v>
      </c>
      <c r="BJ47" s="66" t="e">
        <f t="shared" si="97"/>
        <v>#NUM!</v>
      </c>
      <c r="BK47" s="63" t="e">
        <f t="shared" si="98"/>
        <v>#NUM!</v>
      </c>
      <c r="BL47" s="51">
        <f t="shared" si="99"/>
        <v>58.627633157441082</v>
      </c>
      <c r="BM47" s="63">
        <f t="shared" si="100"/>
        <v>88.348494487348077</v>
      </c>
    </row>
    <row r="48" spans="1:65" x14ac:dyDescent="0.3">
      <c r="A48" t="s">
        <v>208</v>
      </c>
      <c r="B48" s="1">
        <f>1/(PI()*(((1-DC_VIN_Var)*(1+(B44/B45)))-0.5))</f>
        <v>0.26531904076666801</v>
      </c>
      <c r="K48" s="32"/>
      <c r="N48" s="11">
        <v>30</v>
      </c>
      <c r="O48" s="52">
        <f t="shared" si="62"/>
        <v>19.952623149688804</v>
      </c>
      <c r="P48" s="50" t="str">
        <f t="shared" si="50"/>
        <v>23.3035714285714</v>
      </c>
      <c r="Q48" s="18" t="str">
        <f t="shared" si="51"/>
        <v>1+0.0475495437099545i</v>
      </c>
      <c r="R48" s="18">
        <f t="shared" si="63"/>
        <v>1.0011298412828502</v>
      </c>
      <c r="S48" s="18">
        <f t="shared" si="64"/>
        <v>4.7513756387665723E-2</v>
      </c>
      <c r="T48" s="18" t="str">
        <f t="shared" si="52"/>
        <v>1+0.000221897870646454i</v>
      </c>
      <c r="U48" s="18">
        <f t="shared" si="65"/>
        <v>1.0000000246193321</v>
      </c>
      <c r="V48" s="18">
        <f t="shared" si="66"/>
        <v>2.2189786700446915E-4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23.2507428979287-1.11103755727418i</v>
      </c>
      <c r="AD48" s="66">
        <f t="shared" si="72"/>
        <v>27.338642093728645</v>
      </c>
      <c r="AE48" s="63">
        <f t="shared" si="73"/>
        <v>-2.7357997642254737</v>
      </c>
      <c r="AF48" s="51" t="e">
        <f t="shared" si="74"/>
        <v>#NUM!</v>
      </c>
      <c r="AG48" s="51" t="str">
        <f t="shared" si="55"/>
        <v>1-0.0665693611939365i</v>
      </c>
      <c r="AH48" s="51">
        <f t="shared" si="75"/>
        <v>1.0022132905972505</v>
      </c>
      <c r="AI48" s="51">
        <f t="shared" si="76"/>
        <v>-6.6471288232931747E-2</v>
      </c>
      <c r="AJ48" s="51" t="str">
        <f t="shared" si="56"/>
        <v>1+0.000221897870646454i</v>
      </c>
      <c r="AK48" s="51">
        <f t="shared" si="77"/>
        <v>1.0000000246193321</v>
      </c>
      <c r="AL48" s="51">
        <f t="shared" si="78"/>
        <v>2.2189786700446915E-4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24.6056901708796+834.015851140183i</v>
      </c>
      <c r="BG48" s="66">
        <f t="shared" si="94"/>
        <v>58.427264583045115</v>
      </c>
      <c r="BH48" s="63">
        <f t="shared" si="95"/>
        <v>88.310112000458346</v>
      </c>
      <c r="BI48" s="60" t="e">
        <f t="shared" si="96"/>
        <v>#NUM!</v>
      </c>
      <c r="BJ48" s="66" t="e">
        <f t="shared" si="97"/>
        <v>#NUM!</v>
      </c>
      <c r="BK48" s="63" t="e">
        <f t="shared" si="98"/>
        <v>#NUM!</v>
      </c>
      <c r="BL48" s="51">
        <f t="shared" si="99"/>
        <v>58.427264583045115</v>
      </c>
      <c r="BM48" s="63">
        <f t="shared" si="100"/>
        <v>88.310112000458346</v>
      </c>
    </row>
    <row r="49" spans="1:65" x14ac:dyDescent="0.3">
      <c r="K49" s="32"/>
      <c r="N49" s="11">
        <v>31</v>
      </c>
      <c r="O49" s="52">
        <f t="shared" si="62"/>
        <v>20.4173794466953</v>
      </c>
      <c r="P49" s="50" t="str">
        <f t="shared" si="50"/>
        <v>23.3035714285714</v>
      </c>
      <c r="Q49" s="18" t="str">
        <f t="shared" si="51"/>
        <v>1+0.0486571148645437i</v>
      </c>
      <c r="R49" s="18">
        <f t="shared" si="63"/>
        <v>1.0011830576008272</v>
      </c>
      <c r="S49" s="18">
        <f t="shared" si="64"/>
        <v>4.861877050470207E-2</v>
      </c>
      <c r="T49" s="18" t="str">
        <f t="shared" si="52"/>
        <v>1+0.000227066536034537i</v>
      </c>
      <c r="U49" s="18">
        <f t="shared" si="65"/>
        <v>1.0000000257796056</v>
      </c>
      <c r="V49" s="18">
        <f t="shared" si="66"/>
        <v>2.2706653213207993E-4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23.2482590465385-1.13679608948321i</v>
      </c>
      <c r="AD49" s="66">
        <f t="shared" si="72"/>
        <v>27.338180421914334</v>
      </c>
      <c r="AE49" s="63">
        <f t="shared" si="73"/>
        <v>-2.7994259809443425</v>
      </c>
      <c r="AF49" s="51" t="e">
        <f t="shared" si="74"/>
        <v>#NUM!</v>
      </c>
      <c r="AG49" s="51" t="str">
        <f t="shared" si="55"/>
        <v>1-0.0681199608103613i</v>
      </c>
      <c r="AH49" s="51">
        <f t="shared" si="75"/>
        <v>1.002317479175538</v>
      </c>
      <c r="AI49" s="51">
        <f t="shared" si="76"/>
        <v>-6.8014886857623982E-2</v>
      </c>
      <c r="AJ49" s="51" t="str">
        <f t="shared" si="56"/>
        <v>1+0.000227066536034537i</v>
      </c>
      <c r="AK49" s="51">
        <f t="shared" si="77"/>
        <v>1.0000000257796056</v>
      </c>
      <c r="AL49" s="51">
        <f t="shared" si="78"/>
        <v>2.2706653213207993E-4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24.6031180187318+814.97845157313i</v>
      </c>
      <c r="BG49" s="66">
        <f t="shared" si="94"/>
        <v>58.226878684956738</v>
      </c>
      <c r="BH49" s="63">
        <f t="shared" si="95"/>
        <v>88.270841610383059</v>
      </c>
      <c r="BI49" s="60" t="e">
        <f t="shared" si="96"/>
        <v>#NUM!</v>
      </c>
      <c r="BJ49" s="66" t="e">
        <f t="shared" si="97"/>
        <v>#NUM!</v>
      </c>
      <c r="BK49" s="63" t="e">
        <f t="shared" si="98"/>
        <v>#NUM!</v>
      </c>
      <c r="BL49" s="51">
        <f t="shared" si="99"/>
        <v>58.226878684956738</v>
      </c>
      <c r="BM49" s="63">
        <f t="shared" si="100"/>
        <v>88.270841610383059</v>
      </c>
    </row>
    <row r="50" spans="1:65" ht="15.6" x14ac:dyDescent="0.3">
      <c r="A50" s="53" t="s">
        <v>223</v>
      </c>
      <c r="N50" s="11">
        <v>32</v>
      </c>
      <c r="O50" s="52">
        <f t="shared" si="62"/>
        <v>20.8929613085404</v>
      </c>
      <c r="P50" s="50" t="str">
        <f t="shared" si="50"/>
        <v>23.3035714285714</v>
      </c>
      <c r="Q50" s="18" t="str">
        <f t="shared" si="51"/>
        <v>1+0.0497904846654876i</v>
      </c>
      <c r="R50" s="18">
        <f t="shared" si="63"/>
        <v>1.0012387788950365</v>
      </c>
      <c r="S50" s="18">
        <f t="shared" si="64"/>
        <v>4.9749400688680764E-2</v>
      </c>
      <c r="T50" s="18" t="str">
        <f t="shared" si="52"/>
        <v>1+0.000232355595105609i</v>
      </c>
      <c r="U50" s="18">
        <f t="shared" si="65"/>
        <v>1.0000000269945608</v>
      </c>
      <c r="V50" s="18">
        <f t="shared" si="66"/>
        <v>2.3235559092405091E-4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23.245658700781-1.16314599955143i</v>
      </c>
      <c r="AD50" s="66">
        <f t="shared" si="72"/>
        <v>27.337697044779169</v>
      </c>
      <c r="AE50" s="63">
        <f t="shared" si="73"/>
        <v>-2.8645271942041268</v>
      </c>
      <c r="AF50" s="51" t="e">
        <f t="shared" si="74"/>
        <v>#NUM!</v>
      </c>
      <c r="AG50" s="51" t="str">
        <f t="shared" si="55"/>
        <v>1-0.0697066785316827i</v>
      </c>
      <c r="AH50" s="51">
        <f t="shared" si="75"/>
        <v>1.0024265664037038</v>
      </c>
      <c r="AI50" s="51">
        <f t="shared" si="76"/>
        <v>-6.9594104477347471E-2</v>
      </c>
      <c r="AJ50" s="51" t="str">
        <f t="shared" si="56"/>
        <v>1+0.000232355595105609i</v>
      </c>
      <c r="AK50" s="51">
        <f t="shared" si="77"/>
        <v>1.0000000269945608</v>
      </c>
      <c r="AL50" s="51">
        <f t="shared" si="78"/>
        <v>2.3235559092405091E-4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24.6004252308451+796.373176139086i</v>
      </c>
      <c r="BG50" s="66">
        <f t="shared" si="94"/>
        <v>58.026474651228391</v>
      </c>
      <c r="BH50" s="63">
        <f t="shared" si="95"/>
        <v>88.230663072830154</v>
      </c>
      <c r="BI50" s="60" t="e">
        <f t="shared" ref="BI50:BI113" si="101">IMPRODUCT(AP50,BC50)</f>
        <v>#NUM!</v>
      </c>
      <c r="BJ50" s="66" t="e">
        <f t="shared" si="97"/>
        <v>#NUM!</v>
      </c>
      <c r="BK50" s="63" t="e">
        <f t="shared" ref="BK50:BK113" si="102">(180/PI())*IMARGUMENT(BI50)</f>
        <v>#NUM!</v>
      </c>
      <c r="BL50" s="51">
        <f t="shared" si="99"/>
        <v>58.026474651228391</v>
      </c>
      <c r="BM50" s="63">
        <f t="shared" si="100"/>
        <v>88.230663072830154</v>
      </c>
    </row>
    <row r="51" spans="1:65" x14ac:dyDescent="0.3">
      <c r="A51" t="s">
        <v>188</v>
      </c>
      <c r="N51" s="11">
        <v>33</v>
      </c>
      <c r="O51" s="52">
        <f t="shared" si="62"/>
        <v>21.379620895022335</v>
      </c>
      <c r="P51" s="50" t="str">
        <f t="shared" si="50"/>
        <v>23.3035714285714</v>
      </c>
      <c r="Q51" s="18" t="str">
        <f t="shared" si="51"/>
        <v>1+0.0509502540404556i</v>
      </c>
      <c r="R51" s="18">
        <f t="shared" si="63"/>
        <v>1.0012971229294465</v>
      </c>
      <c r="S51" s="18">
        <f t="shared" si="64"/>
        <v>5.0906234845622199E-2</v>
      </c>
      <c r="T51" s="18" t="str">
        <f t="shared" si="52"/>
        <v>1+0.000237767852188793i</v>
      </c>
      <c r="U51" s="18">
        <f t="shared" si="65"/>
        <v>1.0000000282667754</v>
      </c>
      <c r="V51" s="18">
        <f t="shared" si="66"/>
        <v>2.3776784770817278E-4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23.2429364248396-1.19010044969672i</v>
      </c>
      <c r="AD51" s="66">
        <f t="shared" si="72"/>
        <v>27.337190944444952</v>
      </c>
      <c r="AE51" s="63">
        <f t="shared" si="73"/>
        <v>-2.9311372586709092</v>
      </c>
      <c r="AF51" s="51" t="e">
        <f t="shared" si="74"/>
        <v>#NUM!</v>
      </c>
      <c r="AG51" s="51" t="str">
        <f t="shared" si="55"/>
        <v>1-0.0713303556566381i</v>
      </c>
      <c r="AH51" s="51">
        <f t="shared" si="75"/>
        <v>1.0025407820323833</v>
      </c>
      <c r="AI51" s="51">
        <f t="shared" si="76"/>
        <v>-7.1209746888834483E-2</v>
      </c>
      <c r="AJ51" s="51" t="str">
        <f t="shared" si="56"/>
        <v>1+0.000237767852188793i</v>
      </c>
      <c r="AK51" s="51">
        <f t="shared" si="77"/>
        <v>1.0000000282667754</v>
      </c>
      <c r="AL51" s="51">
        <f t="shared" si="78"/>
        <v>2.3776784770817278E-4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24.5976061781592+778.190160912343i</v>
      </c>
      <c r="BG51" s="66">
        <f t="shared" si="94"/>
        <v>57.826051632078261</v>
      </c>
      <c r="BH51" s="63">
        <f t="shared" si="95"/>
        <v>88.189555703075953</v>
      </c>
      <c r="BI51" s="60" t="e">
        <f t="shared" si="101"/>
        <v>#NUM!</v>
      </c>
      <c r="BJ51" s="66" t="e">
        <f t="shared" si="97"/>
        <v>#NUM!</v>
      </c>
      <c r="BK51" s="63" t="e">
        <f t="shared" si="102"/>
        <v>#NUM!</v>
      </c>
      <c r="BL51" s="51">
        <f t="shared" si="99"/>
        <v>57.826051632078261</v>
      </c>
      <c r="BM51" s="63">
        <f t="shared" si="100"/>
        <v>88.189555703075953</v>
      </c>
    </row>
    <row r="52" spans="1:65" x14ac:dyDescent="0.3">
      <c r="A52" t="s">
        <v>186</v>
      </c>
      <c r="B52" s="3">
        <f>RFBT</f>
        <v>150000</v>
      </c>
      <c r="C52" s="2" t="s">
        <v>36</v>
      </c>
      <c r="E52" t="s">
        <v>189</v>
      </c>
      <c r="N52" s="11">
        <v>34</v>
      </c>
      <c r="O52" s="52">
        <f t="shared" si="62"/>
        <v>21.877616239495538</v>
      </c>
      <c r="P52" s="50" t="str">
        <f t="shared" si="50"/>
        <v>23.3035714285714</v>
      </c>
      <c r="Q52" s="18" t="str">
        <f t="shared" si="51"/>
        <v>1+0.0521370379145225i</v>
      </c>
      <c r="R52" s="18">
        <f t="shared" si="63"/>
        <v>1.0013582129899872</v>
      </c>
      <c r="S52" s="18">
        <f t="shared" si="64"/>
        <v>5.208987395206955E-2</v>
      </c>
      <c r="T52" s="18" t="str">
        <f t="shared" si="52"/>
        <v>1+0.000243306176934438i</v>
      </c>
      <c r="U52" s="18">
        <f t="shared" si="65"/>
        <v>1.0000000295989475</v>
      </c>
      <c r="V52" s="18">
        <f t="shared" si="66"/>
        <v>2.4330617213336696E-4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23.2400865319327-1.21767286531793i</v>
      </c>
      <c r="AD52" s="66">
        <f t="shared" si="72"/>
        <v>27.336661055548809</v>
      </c>
      <c r="AE52" s="63">
        <f t="shared" si="73"/>
        <v>-2.9992907818593748</v>
      </c>
      <c r="AF52" s="51" t="e">
        <f t="shared" si="74"/>
        <v>#NUM!</v>
      </c>
      <c r="AG52" s="51" t="str">
        <f t="shared" si="55"/>
        <v>1-0.0729918530803317i</v>
      </c>
      <c r="AH52" s="51">
        <f t="shared" si="75"/>
        <v>1.0026603665330054</v>
      </c>
      <c r="AI52" s="51">
        <f t="shared" si="76"/>
        <v>-7.2862636969639391E-2</v>
      </c>
      <c r="AJ52" s="51" t="str">
        <f t="shared" si="56"/>
        <v>1+0.000243306176934438i</v>
      </c>
      <c r="AK52" s="51">
        <f t="shared" si="77"/>
        <v>1.0000000295989475</v>
      </c>
      <c r="AL52" s="51">
        <f t="shared" si="78"/>
        <v>2.4330617213336696E-4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24.5946549717272+760.419765914544i</v>
      </c>
      <c r="BG52" s="66">
        <f t="shared" si="94"/>
        <v>57.625608738148877</v>
      </c>
      <c r="BH52" s="63">
        <f t="shared" si="95"/>
        <v>88.147498367909904</v>
      </c>
      <c r="BI52" s="60" t="e">
        <f t="shared" si="101"/>
        <v>#NUM!</v>
      </c>
      <c r="BJ52" s="66" t="e">
        <f t="shared" si="97"/>
        <v>#NUM!</v>
      </c>
      <c r="BK52" s="63" t="e">
        <f t="shared" si="102"/>
        <v>#NUM!</v>
      </c>
      <c r="BL52" s="51">
        <f t="shared" si="99"/>
        <v>57.625608738148877</v>
      </c>
      <c r="BM52" s="63">
        <f t="shared" si="100"/>
        <v>88.147498367909904</v>
      </c>
    </row>
    <row r="53" spans="1:65" x14ac:dyDescent="0.3">
      <c r="A53" t="s">
        <v>187</v>
      </c>
      <c r="B53" s="3">
        <f>RFBB</f>
        <v>14000</v>
      </c>
      <c r="C53" s="2" t="s">
        <v>36</v>
      </c>
      <c r="E53" t="s">
        <v>190</v>
      </c>
      <c r="N53" s="11">
        <v>35</v>
      </c>
      <c r="O53" s="52">
        <f t="shared" si="62"/>
        <v>22.387211385683404</v>
      </c>
      <c r="P53" s="50" t="str">
        <f t="shared" si="50"/>
        <v>23.3035714285714</v>
      </c>
      <c r="Q53" s="18" t="str">
        <f t="shared" si="51"/>
        <v>1+0.053351465536207i</v>
      </c>
      <c r="R53" s="18">
        <f t="shared" si="63"/>
        <v>1.0014221781420967</v>
      </c>
      <c r="S53" s="18">
        <f t="shared" si="64"/>
        <v>5.3300932315373993E-2</v>
      </c>
      <c r="T53" s="18" t="str">
        <f t="shared" si="52"/>
        <v>1+0.000248973505835633i</v>
      </c>
      <c r="U53" s="18">
        <f t="shared" si="65"/>
        <v>1.0000000309939028</v>
      </c>
      <c r="V53" s="18">
        <f t="shared" si="66"/>
        <v>2.4897350069119271E-4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23.237103072985-1.24587693807123i</v>
      </c>
      <c r="AD53" s="66">
        <f t="shared" si="72"/>
        <v>27.336106263051999</v>
      </c>
      <c r="AE53" s="63">
        <f t="shared" si="73"/>
        <v>-3.0690231391384941</v>
      </c>
      <c r="AF53" s="51" t="e">
        <f t="shared" si="74"/>
        <v>#NUM!</v>
      </c>
      <c r="AG53" s="51" t="str">
        <f t="shared" si="55"/>
        <v>1-0.0746920517506899i</v>
      </c>
      <c r="AH53" s="51">
        <f t="shared" si="75"/>
        <v>1.0027855715928145</v>
      </c>
      <c r="AI53" s="51">
        <f t="shared" si="76"/>
        <v>-7.4553614957531988E-2</v>
      </c>
      <c r="AJ53" s="51" t="str">
        <f t="shared" si="56"/>
        <v>1+0.000248973505835633i</v>
      </c>
      <c r="AK53" s="51">
        <f t="shared" si="77"/>
        <v>1.0000000309939028</v>
      </c>
      <c r="AL53" s="51">
        <f t="shared" si="78"/>
        <v>2.4897350069119271E-4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24.5915654509839+743.052570007613i</v>
      </c>
      <c r="BG53" s="66">
        <f t="shared" si="94"/>
        <v>57.425145038687205</v>
      </c>
      <c r="BH53" s="63">
        <f t="shared" si="95"/>
        <v>88.104469477546544</v>
      </c>
      <c r="BI53" s="60" t="e">
        <f t="shared" si="101"/>
        <v>#NUM!</v>
      </c>
      <c r="BJ53" s="66" t="e">
        <f t="shared" si="97"/>
        <v>#NUM!</v>
      </c>
      <c r="BK53" s="63" t="e">
        <f t="shared" si="102"/>
        <v>#NUM!</v>
      </c>
      <c r="BL53" s="51">
        <f t="shared" si="99"/>
        <v>57.425145038687205</v>
      </c>
      <c r="BM53" s="63">
        <f t="shared" si="100"/>
        <v>88.104469477546544</v>
      </c>
    </row>
    <row r="54" spans="1:65" x14ac:dyDescent="0.3">
      <c r="A54" t="s">
        <v>176</v>
      </c>
      <c r="B54" s="3">
        <f>RCOMP</f>
        <v>4270</v>
      </c>
      <c r="C54" s="2" t="s">
        <v>36</v>
      </c>
      <c r="E54" s="32" t="s">
        <v>183</v>
      </c>
      <c r="N54" s="11">
        <v>36</v>
      </c>
      <c r="O54" s="52">
        <f t="shared" si="62"/>
        <v>22.908676527677727</v>
      </c>
      <c r="P54" s="50" t="str">
        <f t="shared" si="50"/>
        <v>23.3035714285714</v>
      </c>
      <c r="Q54" s="18" t="str">
        <f t="shared" si="51"/>
        <v>1+0.0545941808111087i</v>
      </c>
      <c r="R54" s="18">
        <f t="shared" si="63"/>
        <v>1.0014891535001444</v>
      </c>
      <c r="S54" s="18">
        <f t="shared" si="64"/>
        <v>5.454003783694078E-2</v>
      </c>
      <c r="T54" s="18" t="str">
        <f t="shared" si="52"/>
        <v>1+0.000254772843785174i</v>
      </c>
      <c r="U54" s="18">
        <f t="shared" si="65"/>
        <v>1.0000000324546006</v>
      </c>
      <c r="V54" s="18">
        <f t="shared" si="66"/>
        <v>2.5477283827280692E-4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23.2339798248124-1.27472662880581i</v>
      </c>
      <c r="AD54" s="66">
        <f t="shared" si="72"/>
        <v>27.335525399949937</v>
      </c>
      <c r="AE54" s="63">
        <f t="shared" si="73"/>
        <v>-3.1403704889087698</v>
      </c>
      <c r="AF54" s="51" t="e">
        <f t="shared" si="74"/>
        <v>#NUM!</v>
      </c>
      <c r="AG54" s="51" t="str">
        <f t="shared" si="55"/>
        <v>1-0.0764318531355524i</v>
      </c>
      <c r="AH54" s="51">
        <f t="shared" si="75"/>
        <v>1.0029166606322455</v>
      </c>
      <c r="AI54" s="51">
        <f t="shared" si="76"/>
        <v>-7.6283538728206618E-2</v>
      </c>
      <c r="AJ54" s="51" t="str">
        <f t="shared" si="56"/>
        <v>1+0.000254772843785174i</v>
      </c>
      <c r="AK54" s="51">
        <f t="shared" si="77"/>
        <v>1.0000000324546006</v>
      </c>
      <c r="AL54" s="51">
        <f t="shared" si="78"/>
        <v>2.5477283827280692E-4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24.5883311715104+726.079365903035i</v>
      </c>
      <c r="BG54" s="66">
        <f t="shared" si="94"/>
        <v>57.224659559643612</v>
      </c>
      <c r="BH54" s="63">
        <f t="shared" si="95"/>
        <v>88.060446977514886</v>
      </c>
      <c r="BI54" s="60" t="e">
        <f t="shared" si="101"/>
        <v>#NUM!</v>
      </c>
      <c r="BJ54" s="66" t="e">
        <f t="shared" si="97"/>
        <v>#NUM!</v>
      </c>
      <c r="BK54" s="63" t="e">
        <f t="shared" si="102"/>
        <v>#NUM!</v>
      </c>
      <c r="BL54" s="51">
        <f t="shared" si="99"/>
        <v>57.224659559643612</v>
      </c>
      <c r="BM54" s="63">
        <f t="shared" si="100"/>
        <v>88.060446977514886</v>
      </c>
    </row>
    <row r="55" spans="1:65" x14ac:dyDescent="0.3">
      <c r="A55" t="s">
        <v>181</v>
      </c>
      <c r="B55" s="3">
        <f>CCOMP</f>
        <v>3.6000000000000005E-8</v>
      </c>
      <c r="C55" s="2" t="s">
        <v>158</v>
      </c>
      <c r="E55" s="32" t="s">
        <v>184</v>
      </c>
      <c r="N55" s="11">
        <v>37</v>
      </c>
      <c r="O55" s="52">
        <f t="shared" si="62"/>
        <v>23.442288153199236</v>
      </c>
      <c r="P55" s="50" t="str">
        <f t="shared" si="50"/>
        <v>23.3035714285714</v>
      </c>
      <c r="Q55" s="18" t="str">
        <f t="shared" si="51"/>
        <v>1+0.055865842643316i</v>
      </c>
      <c r="R55" s="18">
        <f t="shared" si="63"/>
        <v>1.0015592805092706</v>
      </c>
      <c r="S55" s="18">
        <f t="shared" si="64"/>
        <v>5.5807832278284925E-2</v>
      </c>
      <c r="T55" s="18" t="str">
        <f t="shared" si="52"/>
        <v>1+0.000260707265668808i</v>
      </c>
      <c r="U55" s="18">
        <f t="shared" si="65"/>
        <v>1.0000000339841386</v>
      </c>
      <c r="V55" s="18">
        <f t="shared" si="66"/>
        <v>2.6070725976220024E-4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23.2307102778015-1.30423617034122i</v>
      </c>
      <c r="AD55" s="66">
        <f t="shared" si="72"/>
        <v>27.334917244878948</v>
      </c>
      <c r="AE55" s="63">
        <f t="shared" si="73"/>
        <v>-3.2133697879428018</v>
      </c>
      <c r="AF55" s="51" t="e">
        <f t="shared" si="74"/>
        <v>#NUM!</v>
      </c>
      <c r="AG55" s="51" t="str">
        <f t="shared" si="55"/>
        <v>1-0.0782121797006426i</v>
      </c>
      <c r="AH55" s="51">
        <f t="shared" si="75"/>
        <v>1.0030539093456172</v>
      </c>
      <c r="AI55" s="51">
        <f t="shared" si="76"/>
        <v>-7.8053284070710716E-2</v>
      </c>
      <c r="AJ55" s="51" t="str">
        <f t="shared" si="56"/>
        <v>1+0.000260707265668808i</v>
      </c>
      <c r="AK55" s="51">
        <f t="shared" si="77"/>
        <v>1.0000000339841386</v>
      </c>
      <c r="AL55" s="51">
        <f t="shared" si="78"/>
        <v>2.6070725976220024E-4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24.5849453922754+709.491155284786i</v>
      </c>
      <c r="BG55" s="66">
        <f t="shared" si="94"/>
        <v>57.024151281685427</v>
      </c>
      <c r="BH55" s="63">
        <f t="shared" si="95"/>
        <v>88.015408340535899</v>
      </c>
      <c r="BI55" s="60" t="e">
        <f t="shared" si="101"/>
        <v>#NUM!</v>
      </c>
      <c r="BJ55" s="66" t="e">
        <f t="shared" si="97"/>
        <v>#NUM!</v>
      </c>
      <c r="BK55" s="63" t="e">
        <f t="shared" si="102"/>
        <v>#NUM!</v>
      </c>
      <c r="BL55" s="51">
        <f t="shared" si="99"/>
        <v>57.024151281685427</v>
      </c>
      <c r="BM55" s="63">
        <f t="shared" si="100"/>
        <v>88.015408340535899</v>
      </c>
    </row>
    <row r="56" spans="1:65" x14ac:dyDescent="0.3">
      <c r="A56" t="s">
        <v>182</v>
      </c>
      <c r="B56" s="3">
        <f>CHF</f>
        <v>2.0000000000000001E-9</v>
      </c>
      <c r="C56" s="2" t="s">
        <v>158</v>
      </c>
      <c r="E56" s="32" t="s">
        <v>185</v>
      </c>
      <c r="N56" s="11">
        <v>38</v>
      </c>
      <c r="O56" s="52">
        <f t="shared" si="62"/>
        <v>23.988329190194907</v>
      </c>
      <c r="P56" s="50" t="str">
        <f t="shared" si="50"/>
        <v>23.3035714285714</v>
      </c>
      <c r="Q56" s="18" t="str">
        <f t="shared" si="51"/>
        <v>1+0.0571671252847644i</v>
      </c>
      <c r="R56" s="18">
        <f t="shared" si="63"/>
        <v>1.0016327072401958</v>
      </c>
      <c r="S56" s="18">
        <f t="shared" si="64"/>
        <v>5.7104971529729889E-2</v>
      </c>
      <c r="T56" s="18" t="str">
        <f t="shared" si="52"/>
        <v>1+0.000266779917995568i</v>
      </c>
      <c r="U56" s="18">
        <f t="shared" si="65"/>
        <v>1.0000000355857617</v>
      </c>
      <c r="V56" s="18">
        <f t="shared" si="66"/>
        <v>2.6677991166652377E-4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23.227287623066-1.33442007006726i</v>
      </c>
      <c r="AD56" s="66">
        <f t="shared" si="72"/>
        <v>27.334280519615888</v>
      </c>
      <c r="AE56" s="63">
        <f t="shared" si="73"/>
        <v>-3.2880588068795737</v>
      </c>
      <c r="AF56" s="51" t="e">
        <f t="shared" si="74"/>
        <v>#NUM!</v>
      </c>
      <c r="AG56" s="51" t="str">
        <f t="shared" si="55"/>
        <v>1-0.0800339753986704i</v>
      </c>
      <c r="AH56" s="51">
        <f t="shared" si="75"/>
        <v>1.003197606266141</v>
      </c>
      <c r="AI56" s="51">
        <f t="shared" si="76"/>
        <v>-7.986374495995073E-2</v>
      </c>
      <c r="AJ56" s="51" t="str">
        <f t="shared" si="56"/>
        <v>1+0.000266779917995568i</v>
      </c>
      <c r="AK56" s="51">
        <f t="shared" si="77"/>
        <v>1.0000000355857617</v>
      </c>
      <c r="AL56" s="51">
        <f t="shared" si="78"/>
        <v>2.6677991166652377E-4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24.5814010623376+693.279144043479i</v>
      </c>
      <c r="BG56" s="66">
        <f t="shared" si="94"/>
        <v>56.823619138123085</v>
      </c>
      <c r="BH56" s="63">
        <f t="shared" si="95"/>
        <v>87.969330558400401</v>
      </c>
      <c r="BI56" s="60" t="e">
        <f t="shared" si="101"/>
        <v>#NUM!</v>
      </c>
      <c r="BJ56" s="66" t="e">
        <f t="shared" si="97"/>
        <v>#NUM!</v>
      </c>
      <c r="BK56" s="63" t="e">
        <f t="shared" si="102"/>
        <v>#NUM!</v>
      </c>
      <c r="BL56" s="51">
        <f t="shared" si="99"/>
        <v>56.823619138123085</v>
      </c>
      <c r="BM56" s="63">
        <f t="shared" si="100"/>
        <v>87.969330558400401</v>
      </c>
    </row>
    <row r="57" spans="1:65" x14ac:dyDescent="0.3">
      <c r="N57" s="11">
        <v>39</v>
      </c>
      <c r="O57" s="52">
        <f t="shared" si="62"/>
        <v>24.547089156850316</v>
      </c>
      <c r="P57" s="50" t="str">
        <f t="shared" si="50"/>
        <v>23.3035714285714</v>
      </c>
      <c r="Q57" s="18" t="str">
        <f t="shared" si="51"/>
        <v>1+0.0584987186927352i</v>
      </c>
      <c r="R57" s="18">
        <f t="shared" si="63"/>
        <v>1.0017095886975884</v>
      </c>
      <c r="S57" s="18">
        <f t="shared" si="64"/>
        <v>5.8432125881569638E-2</v>
      </c>
      <c r="T57" s="18" t="str">
        <f t="shared" si="52"/>
        <v>1+0.000272994020566098i</v>
      </c>
      <c r="U57" s="18">
        <f t="shared" si="65"/>
        <v>1.000000037262867</v>
      </c>
      <c r="V57" s="18">
        <f t="shared" si="66"/>
        <v>2.7299401378440497E-4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23.2237047390598-1.36529311234583i</v>
      </c>
      <c r="AD57" s="66">
        <f t="shared" si="72"/>
        <v>27.333613886465674</v>
      </c>
      <c r="AE57" s="63">
        <f t="shared" si="73"/>
        <v>-3.3644761458619432</v>
      </c>
      <c r="AF57" s="51" t="e">
        <f t="shared" si="74"/>
        <v>#NUM!</v>
      </c>
      <c r="AG57" s="51" t="str">
        <f t="shared" si="55"/>
        <v>1-0.0818982061698295i</v>
      </c>
      <c r="AH57" s="51">
        <f t="shared" si="75"/>
        <v>1.0033480533562797</v>
      </c>
      <c r="AI57" s="51">
        <f t="shared" si="76"/>
        <v>-8.1715833825584172E-2</v>
      </c>
      <c r="AJ57" s="51" t="str">
        <f t="shared" si="56"/>
        <v>1+0.000272994020566098i</v>
      </c>
      <c r="AK57" s="51">
        <f t="shared" si="77"/>
        <v>1.000000037262867</v>
      </c>
      <c r="AL57" s="51">
        <f t="shared" si="78"/>
        <v>2.7299401378440497E-4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24.5776908069781+677.43473761904i</v>
      </c>
      <c r="BG57" s="66">
        <f t="shared" si="94"/>
        <v>56.623062012743041</v>
      </c>
      <c r="BH57" s="63">
        <f t="shared" si="95"/>
        <v>87.922190133860397</v>
      </c>
      <c r="BI57" s="60" t="e">
        <f t="shared" si="101"/>
        <v>#NUM!</v>
      </c>
      <c r="BJ57" s="66" t="e">
        <f t="shared" si="97"/>
        <v>#NUM!</v>
      </c>
      <c r="BK57" s="63" t="e">
        <f t="shared" si="102"/>
        <v>#NUM!</v>
      </c>
      <c r="BL57" s="51">
        <f t="shared" si="99"/>
        <v>56.623062012743041</v>
      </c>
      <c r="BM57" s="63">
        <f t="shared" si="100"/>
        <v>87.922190133860397</v>
      </c>
    </row>
    <row r="58" spans="1:65" x14ac:dyDescent="0.3">
      <c r="A58" t="s">
        <v>225</v>
      </c>
      <c r="B58" s="1">
        <f>-(RFBB*gm_ea)/(RFBB+RFBT)</f>
        <v>-1.7073170731707316E-4</v>
      </c>
      <c r="C58" t="s">
        <v>147</v>
      </c>
      <c r="N58" s="11">
        <v>40</v>
      </c>
      <c r="O58" s="52">
        <f t="shared" si="62"/>
        <v>25.118864315095799</v>
      </c>
      <c r="P58" s="50" t="str">
        <f t="shared" si="50"/>
        <v>23.3035714285714</v>
      </c>
      <c r="Q58" s="18" t="str">
        <f t="shared" si="51"/>
        <v>1+0.0598613288956794i</v>
      </c>
      <c r="R58" s="18">
        <f t="shared" si="63"/>
        <v>1.0017900871425893</v>
      </c>
      <c r="S58" s="18">
        <f t="shared" si="64"/>
        <v>5.9789980297483877E-2</v>
      </c>
      <c r="T58" s="18" t="str">
        <f t="shared" si="52"/>
        <v>1+0.000279352868179837i</v>
      </c>
      <c r="U58" s="18">
        <f t="shared" si="65"/>
        <v>1.0000000390190118</v>
      </c>
      <c r="V58" s="18">
        <f t="shared" si="66"/>
        <v>2.7935286091312201E-4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23.2199541776267-1.39687036069274i</v>
      </c>
      <c r="AD58" s="66">
        <f t="shared" si="72"/>
        <v>27.332915945531898</v>
      </c>
      <c r="AE58" s="63">
        <f t="shared" si="73"/>
        <v>-3.4426612503058154</v>
      </c>
      <c r="AF58" s="51" t="e">
        <f t="shared" si="74"/>
        <v>#NUM!</v>
      </c>
      <c r="AG58" s="51" t="str">
        <f t="shared" si="55"/>
        <v>1-0.0838058604539513i</v>
      </c>
      <c r="AH58" s="51">
        <f t="shared" si="75"/>
        <v>1.0035055666245341</v>
      </c>
      <c r="AI58" s="51">
        <f t="shared" si="76"/>
        <v>-8.3610481816543708E-2</v>
      </c>
      <c r="AJ58" s="51" t="str">
        <f t="shared" si="56"/>
        <v>1+0.000279352868179837i</v>
      </c>
      <c r="AK58" s="51">
        <f t="shared" si="77"/>
        <v>1.0000000390190118</v>
      </c>
      <c r="AL58" s="51">
        <f t="shared" si="78"/>
        <v>2.7935286091312201E-4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24.573806913258+661.949536449654i</v>
      </c>
      <c r="BG58" s="66">
        <f t="shared" si="94"/>
        <v>56.422478737545802</v>
      </c>
      <c r="BH58" s="63">
        <f t="shared" si="95"/>
        <v>87.873963072547923</v>
      </c>
      <c r="BI58" s="60" t="e">
        <f t="shared" si="101"/>
        <v>#NUM!</v>
      </c>
      <c r="BJ58" s="66" t="e">
        <f t="shared" si="97"/>
        <v>#NUM!</v>
      </c>
      <c r="BK58" s="63" t="e">
        <f t="shared" si="102"/>
        <v>#NUM!</v>
      </c>
      <c r="BL58" s="51">
        <f t="shared" si="99"/>
        <v>56.422478737545802</v>
      </c>
      <c r="BM58" s="63">
        <f t="shared" si="100"/>
        <v>87.873963072547923</v>
      </c>
    </row>
    <row r="59" spans="1:65" x14ac:dyDescent="0.3">
      <c r="A59" t="s">
        <v>224</v>
      </c>
      <c r="B59" s="1">
        <f>1/(RCOMP*CCOMP)</f>
        <v>6505.334374186833</v>
      </c>
      <c r="E59" t="s">
        <v>238</v>
      </c>
      <c r="N59" s="11">
        <v>41</v>
      </c>
      <c r="O59" s="52">
        <f t="shared" si="62"/>
        <v>25.703957827688647</v>
      </c>
      <c r="P59" s="50" t="str">
        <f t="shared" si="50"/>
        <v>23.3035714285714</v>
      </c>
      <c r="Q59" s="18" t="str">
        <f t="shared" si="51"/>
        <v>1+0.0612556783675619i</v>
      </c>
      <c r="R59" s="18">
        <f t="shared" si="63"/>
        <v>1.0018743724301318</v>
      </c>
      <c r="S59" s="18">
        <f t="shared" si="64"/>
        <v>6.1179234689979801E-2</v>
      </c>
      <c r="T59" s="18" t="str">
        <f t="shared" si="52"/>
        <v>1+0.000285859832381956i</v>
      </c>
      <c r="U59" s="18">
        <f t="shared" si="65"/>
        <v>1.000000040857921</v>
      </c>
      <c r="V59" s="18">
        <f t="shared" si="66"/>
        <v>2.858598245955306E-4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23.216028149468-1.42916715971581i</v>
      </c>
      <c r="AD59" s="66">
        <f t="shared" si="72"/>
        <v>27.332185231866205</v>
      </c>
      <c r="AE59" s="63">
        <f t="shared" si="73"/>
        <v>-3.5226544267879234</v>
      </c>
      <c r="AF59" s="51" t="e">
        <f t="shared" si="74"/>
        <v>#NUM!</v>
      </c>
      <c r="AG59" s="51" t="str">
        <f t="shared" si="55"/>
        <v>1-0.0857579497145869i</v>
      </c>
      <c r="AH59" s="51">
        <f t="shared" si="75"/>
        <v>1.003670476769766</v>
      </c>
      <c r="AI59" s="51">
        <f t="shared" si="76"/>
        <v>-8.5548639060383749E-2</v>
      </c>
      <c r="AJ59" s="51" t="str">
        <f t="shared" si="56"/>
        <v>1+0.000285859832381956i</v>
      </c>
      <c r="AK59" s="51">
        <f t="shared" si="77"/>
        <v>1.000000040857921</v>
      </c>
      <c r="AL59" s="51">
        <f t="shared" si="78"/>
        <v>2.858598245955306E-4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24.5697413149683+646.815331524441i</v>
      </c>
      <c r="BG59" s="66">
        <f t="shared" si="94"/>
        <v>56.22186809038341</v>
      </c>
      <c r="BH59" s="63">
        <f t="shared" si="95"/>
        <v>87.824624874937072</v>
      </c>
      <c r="BI59" s="60" t="e">
        <f t="shared" si="101"/>
        <v>#NUM!</v>
      </c>
      <c r="BJ59" s="66" t="e">
        <f t="shared" si="97"/>
        <v>#NUM!</v>
      </c>
      <c r="BK59" s="63" t="e">
        <f t="shared" si="102"/>
        <v>#NUM!</v>
      </c>
      <c r="BL59" s="51">
        <f t="shared" si="99"/>
        <v>56.22186809038341</v>
      </c>
      <c r="BM59" s="63">
        <f t="shared" si="100"/>
        <v>87.824624874937072</v>
      </c>
    </row>
    <row r="60" spans="1:65" x14ac:dyDescent="0.3">
      <c r="A60" t="s">
        <v>229</v>
      </c>
      <c r="B60" s="1">
        <f>(CCOMP+CHF)</f>
        <v>3.8000000000000003E-8</v>
      </c>
      <c r="E60" t="s">
        <v>239</v>
      </c>
      <c r="N60" s="11">
        <v>42</v>
      </c>
      <c r="O60" s="52">
        <f t="shared" si="62"/>
        <v>26.302679918953825</v>
      </c>
      <c r="P60" s="50" t="str">
        <f t="shared" si="50"/>
        <v>23.3035714285714</v>
      </c>
      <c r="Q60" s="18" t="str">
        <f t="shared" si="51"/>
        <v>1+0.0626825064109298i</v>
      </c>
      <c r="R60" s="18">
        <f t="shared" si="63"/>
        <v>1.0019626223617109</v>
      </c>
      <c r="S60" s="18">
        <f t="shared" si="64"/>
        <v>6.2600604197613416E-2</v>
      </c>
      <c r="T60" s="18" t="str">
        <f t="shared" si="52"/>
        <v>1+0.000292518363251006i</v>
      </c>
      <c r="U60" s="18">
        <f t="shared" si="65"/>
        <v>1.0000000427834954</v>
      </c>
      <c r="V60" s="18">
        <f t="shared" si="66"/>
        <v>2.9251835490770085E-4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23.2119185090059-1.46219913678364i</v>
      </c>
      <c r="AD60" s="66">
        <f t="shared" si="72"/>
        <v>27.331420212490691</v>
      </c>
      <c r="AE60" s="63">
        <f t="shared" si="73"/>
        <v>-3.6044968590376372</v>
      </c>
      <c r="AF60" s="51" t="e">
        <f t="shared" si="74"/>
        <v>#NUM!</v>
      </c>
      <c r="AG60" s="51" t="str">
        <f t="shared" si="55"/>
        <v>1-0.087755508975302i</v>
      </c>
      <c r="AH60" s="51">
        <f t="shared" si="75"/>
        <v>1.003843129854219</v>
      </c>
      <c r="AI60" s="51">
        <f t="shared" si="76"/>
        <v>-8.7531274916582941E-2</v>
      </c>
      <c r="AJ60" s="51" t="str">
        <f t="shared" si="56"/>
        <v>1+0.000292518363251006i</v>
      </c>
      <c r="AK60" s="51">
        <f t="shared" si="77"/>
        <v>1.0000000427834954</v>
      </c>
      <c r="AL60" s="51">
        <f t="shared" si="78"/>
        <v>2.9251835490770085E-4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24.5654855769551+632.024100037661i</v>
      </c>
      <c r="BG60" s="66">
        <f t="shared" si="94"/>
        <v>56.021228792493851</v>
      </c>
      <c r="BH60" s="63">
        <f t="shared" si="95"/>
        <v>87.774150528366476</v>
      </c>
      <c r="BI60" s="60" t="e">
        <f t="shared" si="101"/>
        <v>#NUM!</v>
      </c>
      <c r="BJ60" s="66" t="e">
        <f t="shared" si="97"/>
        <v>#NUM!</v>
      </c>
      <c r="BK60" s="63" t="e">
        <f t="shared" si="102"/>
        <v>#NUM!</v>
      </c>
      <c r="BL60" s="51">
        <f t="shared" si="99"/>
        <v>56.021228792493851</v>
      </c>
      <c r="BM60" s="63">
        <f t="shared" si="100"/>
        <v>87.774150528366476</v>
      </c>
    </row>
    <row r="61" spans="1:65" x14ac:dyDescent="0.3">
      <c r="A61" s="32" t="s">
        <v>230</v>
      </c>
      <c r="B61" s="1">
        <f>(CCOMP+CHF)/(RCOMP*CHF*CCOMP)</f>
        <v>123601.3531095498</v>
      </c>
      <c r="E61" s="32" t="s">
        <v>240</v>
      </c>
      <c r="N61" s="11">
        <v>43</v>
      </c>
      <c r="O61" s="52">
        <f t="shared" si="62"/>
        <v>26.915348039269158</v>
      </c>
      <c r="P61" s="50" t="str">
        <f t="shared" si="50"/>
        <v>23.3035714285714</v>
      </c>
      <c r="Q61" s="18" t="str">
        <f t="shared" si="51"/>
        <v>1+0.0641425695488981i</v>
      </c>
      <c r="R61" s="18">
        <f t="shared" si="63"/>
        <v>1.0020550230542908</v>
      </c>
      <c r="S61" s="18">
        <f t="shared" si="64"/>
        <v>6.4054819463702894E-2</v>
      </c>
      <c r="T61" s="18" t="str">
        <f t="shared" si="52"/>
        <v>1+0.000299331991228191i</v>
      </c>
      <c r="U61" s="18">
        <f t="shared" si="65"/>
        <v>1.0000000447998194</v>
      </c>
      <c r="V61" s="18">
        <f t="shared" si="66"/>
        <v>2.9933198228817849E-4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23.2076167386227-1.49598220339792i</v>
      </c>
      <c r="AD61" s="66">
        <f t="shared" si="72"/>
        <v>27.330619283288428</v>
      </c>
      <c r="AE61" s="63">
        <f t="shared" si="73"/>
        <v>-3.6882306240172626</v>
      </c>
      <c r="AF61" s="51" t="e">
        <f t="shared" si="74"/>
        <v>#NUM!</v>
      </c>
      <c r="AG61" s="51" t="str">
        <f t="shared" si="55"/>
        <v>1-0.0897995973684575i</v>
      </c>
      <c r="AH61" s="51">
        <f t="shared" si="75"/>
        <v>1.0040238880064245</v>
      </c>
      <c r="AI61" s="51">
        <f t="shared" si="76"/>
        <v>-8.9559378222850344E-2</v>
      </c>
      <c r="AJ61" s="51" t="str">
        <f t="shared" si="56"/>
        <v>1+0.000299331991228191i</v>
      </c>
      <c r="AK61" s="51">
        <f t="shared" si="77"/>
        <v>1.0000000447998194</v>
      </c>
      <c r="AL61" s="51">
        <f t="shared" si="78"/>
        <v>2.9933198228817849E-4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24.5610308787983+617.568001142028i</v>
      </c>
      <c r="BG61" s="66">
        <f t="shared" si="94"/>
        <v>55.820559505926298</v>
      </c>
      <c r="BH61" s="63">
        <f t="shared" si="95"/>
        <v>87.722514499140019</v>
      </c>
      <c r="BI61" s="60" t="e">
        <f t="shared" si="101"/>
        <v>#NUM!</v>
      </c>
      <c r="BJ61" s="66" t="e">
        <f t="shared" si="97"/>
        <v>#NUM!</v>
      </c>
      <c r="BK61" s="63" t="e">
        <f t="shared" si="102"/>
        <v>#NUM!</v>
      </c>
      <c r="BL61" s="51">
        <f t="shared" si="99"/>
        <v>55.820559505926298</v>
      </c>
      <c r="BM61" s="63">
        <f t="shared" si="100"/>
        <v>87.722514499140019</v>
      </c>
    </row>
    <row r="62" spans="1:65" x14ac:dyDescent="0.3">
      <c r="N62" s="11">
        <v>44</v>
      </c>
      <c r="O62" s="52">
        <f t="shared" si="62"/>
        <v>27.542287033381665</v>
      </c>
      <c r="P62" s="50" t="str">
        <f t="shared" si="50"/>
        <v>23.3035714285714</v>
      </c>
      <c r="Q62" s="18" t="str">
        <f t="shared" si="51"/>
        <v>1+0.0656366419262684i</v>
      </c>
      <c r="R62" s="18">
        <f t="shared" si="63"/>
        <v>1.0021517693260624</v>
      </c>
      <c r="S62" s="18">
        <f t="shared" si="64"/>
        <v>6.5542626916235774E-2</v>
      </c>
      <c r="T62" s="18" t="str">
        <f t="shared" si="52"/>
        <v>1+0.000306304328989253i</v>
      </c>
      <c r="U62" s="18">
        <f t="shared" si="65"/>
        <v>1.0000000469111698</v>
      </c>
      <c r="V62" s="18">
        <f t="shared" si="66"/>
        <v>3.0630431940985704E-4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23.2031139322554-1.53053255623986i</v>
      </c>
      <c r="AD62" s="66">
        <f t="shared" si="72"/>
        <v>27.329780765756947</v>
      </c>
      <c r="AE62" s="63">
        <f t="shared" si="73"/>
        <v>-3.7738987080728981</v>
      </c>
      <c r="AF62" s="51" t="e">
        <f t="shared" si="74"/>
        <v>#NUM!</v>
      </c>
      <c r="AG62" s="51" t="str">
        <f t="shared" si="55"/>
        <v>1-0.091891298696776i</v>
      </c>
      <c r="AH62" s="51">
        <f t="shared" si="75"/>
        <v>1.0042131301552375</v>
      </c>
      <c r="AI62" s="51">
        <f t="shared" si="76"/>
        <v>-9.1633957533432453E-2</v>
      </c>
      <c r="AJ62" s="51" t="str">
        <f t="shared" si="56"/>
        <v>1+0.000306304328989253i</v>
      </c>
      <c r="AK62" s="51">
        <f t="shared" si="77"/>
        <v>1.0000000469111698</v>
      </c>
      <c r="AL62" s="51">
        <f t="shared" si="78"/>
        <v>3.0630431940985704E-4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24.5563679978222+603.439371799083i</v>
      </c>
      <c r="BG62" s="66">
        <f t="shared" si="94"/>
        <v>55.619858830855264</v>
      </c>
      <c r="BH62" s="63">
        <f t="shared" si="95"/>
        <v>87.669690724726308</v>
      </c>
      <c r="BI62" s="60" t="e">
        <f t="shared" si="101"/>
        <v>#NUM!</v>
      </c>
      <c r="BJ62" s="66" t="e">
        <f t="shared" si="97"/>
        <v>#NUM!</v>
      </c>
      <c r="BK62" s="63" t="e">
        <f t="shared" si="102"/>
        <v>#NUM!</v>
      </c>
      <c r="BL62" s="51">
        <f t="shared" si="99"/>
        <v>55.619858830855264</v>
      </c>
      <c r="BM62" s="63">
        <f t="shared" si="100"/>
        <v>87.669690724726308</v>
      </c>
    </row>
    <row r="63" spans="1:65" x14ac:dyDescent="0.3">
      <c r="N63" s="11">
        <v>45</v>
      </c>
      <c r="O63" s="52">
        <f t="shared" si="62"/>
        <v>28.183829312644548</v>
      </c>
      <c r="P63" s="50" t="str">
        <f t="shared" si="50"/>
        <v>23.3035714285714</v>
      </c>
      <c r="Q63" s="18" t="str">
        <f t="shared" si="51"/>
        <v>1+0.0671655157199916i</v>
      </c>
      <c r="R63" s="18">
        <f t="shared" si="63"/>
        <v>1.0022530650997943</v>
      </c>
      <c r="S63" s="18">
        <f t="shared" si="64"/>
        <v>6.7064789048632736E-2</v>
      </c>
      <c r="T63" s="18" t="str">
        <f t="shared" si="52"/>
        <v>1+0.000313439073359961i</v>
      </c>
      <c r="U63" s="18">
        <f t="shared" si="65"/>
        <v>1.0000000491220251</v>
      </c>
      <c r="V63" s="18">
        <f t="shared" si="66"/>
        <v>3.1343906309545333E-4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23.1984007783228-1.56586667785958i</v>
      </c>
      <c r="AD63" s="66">
        <f t="shared" si="72"/>
        <v>27.328902903618481</v>
      </c>
      <c r="AE63" s="63">
        <f t="shared" si="73"/>
        <v>-3.8615450231374466</v>
      </c>
      <c r="AF63" s="51" t="e">
        <f t="shared" si="74"/>
        <v>#NUM!</v>
      </c>
      <c r="AG63" s="51" t="str">
        <f t="shared" si="55"/>
        <v>1-0.0940317220079885i</v>
      </c>
      <c r="AH63" s="51">
        <f t="shared" si="75"/>
        <v>1.0044112527962774</v>
      </c>
      <c r="AI63" s="51">
        <f t="shared" si="76"/>
        <v>-9.3756041348329835E-2</v>
      </c>
      <c r="AJ63" s="51" t="str">
        <f t="shared" si="56"/>
        <v>1+0.000313439073359961i</v>
      </c>
      <c r="AK63" s="51">
        <f t="shared" si="77"/>
        <v>1.0000000491220251</v>
      </c>
      <c r="AL63" s="51">
        <f t="shared" si="78"/>
        <v>3.1343906309545333E-4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24.5514872914176+589.630722724311i</v>
      </c>
      <c r="BG63" s="66">
        <f t="shared" si="94"/>
        <v>55.419125302777068</v>
      </c>
      <c r="BH63" s="63">
        <f t="shared" si="95"/>
        <v>87.615652606077859</v>
      </c>
      <c r="BI63" s="60" t="e">
        <f t="shared" si="101"/>
        <v>#NUM!</v>
      </c>
      <c r="BJ63" s="66" t="e">
        <f t="shared" si="97"/>
        <v>#NUM!</v>
      </c>
      <c r="BK63" s="63" t="e">
        <f t="shared" si="102"/>
        <v>#NUM!</v>
      </c>
      <c r="BL63" s="51">
        <f t="shared" si="99"/>
        <v>55.419125302777068</v>
      </c>
      <c r="BM63" s="63">
        <f t="shared" si="100"/>
        <v>87.615652606077859</v>
      </c>
    </row>
    <row r="64" spans="1:65" x14ac:dyDescent="0.3">
      <c r="N64" s="11">
        <v>46</v>
      </c>
      <c r="O64" s="52">
        <f t="shared" si="62"/>
        <v>28.840315031266066</v>
      </c>
      <c r="P64" s="50" t="str">
        <f t="shared" si="50"/>
        <v>23.3035714285714</v>
      </c>
      <c r="Q64" s="18" t="str">
        <f t="shared" si="51"/>
        <v>1+0.0687300015591902i</v>
      </c>
      <c r="R64" s="18">
        <f t="shared" si="63"/>
        <v>1.0023591238245533</v>
      </c>
      <c r="S64" s="18">
        <f t="shared" si="64"/>
        <v>6.8622084700998426E-2</v>
      </c>
      <c r="T64" s="18" t="str">
        <f t="shared" si="52"/>
        <v>1+0.000320740007276221i</v>
      </c>
      <c r="U64" s="18">
        <f t="shared" si="65"/>
        <v>1.0000000514370748</v>
      </c>
      <c r="V64" s="18">
        <f t="shared" si="66"/>
        <v>3.207399962776029E-4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23.1934675419645-1.60200133697456i</v>
      </c>
      <c r="AD64" s="66">
        <f t="shared" si="72"/>
        <v>27.32798385928146</v>
      </c>
      <c r="AE64" s="63">
        <f t="shared" si="73"/>
        <v>-3.9512144229638544</v>
      </c>
      <c r="AF64" s="51" t="e">
        <f t="shared" si="74"/>
        <v>#NUM!</v>
      </c>
      <c r="AG64" s="51" t="str">
        <f t="shared" si="55"/>
        <v>1-0.0962220021828666i</v>
      </c>
      <c r="AH64" s="51">
        <f t="shared" si="75"/>
        <v>1.004618670792097</v>
      </c>
      <c r="AI64" s="51">
        <f t="shared" si="76"/>
        <v>-9.5926678332255599E-2</v>
      </c>
      <c r="AJ64" s="51" t="str">
        <f t="shared" si="56"/>
        <v>1+0.000320740007276221i</v>
      </c>
      <c r="AK64" s="51">
        <f t="shared" si="77"/>
        <v>1.0000000514370748</v>
      </c>
      <c r="AL64" s="51">
        <f t="shared" si="78"/>
        <v>3.207399962776029E-4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24.5463786786488+576.134734424979i</v>
      </c>
      <c r="BG64" s="66">
        <f t="shared" si="94"/>
        <v>55.218357389585478</v>
      </c>
      <c r="BH64" s="63">
        <f t="shared" si="95"/>
        <v>87.560373000094131</v>
      </c>
      <c r="BI64" s="60" t="e">
        <f t="shared" si="101"/>
        <v>#NUM!</v>
      </c>
      <c r="BJ64" s="66" t="e">
        <f t="shared" si="97"/>
        <v>#NUM!</v>
      </c>
      <c r="BK64" s="63" t="e">
        <f t="shared" si="102"/>
        <v>#NUM!</v>
      </c>
      <c r="BL64" s="51">
        <f t="shared" si="99"/>
        <v>55.218357389585478</v>
      </c>
      <c r="BM64" s="63">
        <f t="shared" si="100"/>
        <v>87.560373000094131</v>
      </c>
    </row>
    <row r="65" spans="1:65" x14ac:dyDescent="0.3">
      <c r="A65" s="70" t="s">
        <v>474</v>
      </c>
      <c r="N65" s="11">
        <v>47</v>
      </c>
      <c r="O65" s="52">
        <f t="shared" si="62"/>
        <v>29.512092266663863</v>
      </c>
      <c r="P65" s="50" t="str">
        <f t="shared" si="50"/>
        <v>23.3035714285714</v>
      </c>
      <c r="Q65" s="18" t="str">
        <f t="shared" si="51"/>
        <v>1+0.0703309289549646i</v>
      </c>
      <c r="R65" s="18">
        <f t="shared" si="63"/>
        <v>1.002470168916596</v>
      </c>
      <c r="S65" s="18">
        <f t="shared" si="64"/>
        <v>7.0215309341459448E-2</v>
      </c>
      <c r="T65" s="18" t="str">
        <f t="shared" si="52"/>
        <v>1+0.000328211001789835i</v>
      </c>
      <c r="U65" s="18">
        <f t="shared" si="65"/>
        <v>1.0000000538612293</v>
      </c>
      <c r="V65" s="18">
        <f t="shared" si="66"/>
        <v>3.2821099000460342E-4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23.1883040465704-1.6389535883415i</v>
      </c>
      <c r="AD65" s="66">
        <f t="shared" si="72"/>
        <v>27.327021710147452</v>
      </c>
      <c r="AE65" s="63">
        <f t="shared" si="73"/>
        <v>-4.0429527193663066</v>
      </c>
      <c r="AF65" s="51" t="e">
        <f t="shared" si="74"/>
        <v>#NUM!</v>
      </c>
      <c r="AG65" s="51" t="str">
        <f t="shared" si="55"/>
        <v>1-0.0984633005369507i</v>
      </c>
      <c r="AH65" s="51">
        <f t="shared" si="75"/>
        <v>1.0048358182074473</v>
      </c>
      <c r="AI65" s="51">
        <f t="shared" si="76"/>
        <v>-9.8146937522081631E-2</v>
      </c>
      <c r="AJ65" s="51" t="str">
        <f t="shared" si="56"/>
        <v>1+0.000328211001789835i</v>
      </c>
      <c r="AK65" s="51">
        <f t="shared" si="77"/>
        <v>1.0000000538612293</v>
      </c>
      <c r="AL65" s="51">
        <f t="shared" si="78"/>
        <v>3.2821099000460342E-4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24.5410316211246+562.944253328543i</v>
      </c>
      <c r="BG65" s="66">
        <f t="shared" si="94"/>
        <v>55.017553488520292</v>
      </c>
      <c r="BH65" s="63">
        <f t="shared" si="95"/>
        <v>87.503824212253178</v>
      </c>
      <c r="BI65" s="60" t="e">
        <f t="shared" si="101"/>
        <v>#NUM!</v>
      </c>
      <c r="BJ65" s="66" t="e">
        <f t="shared" si="97"/>
        <v>#NUM!</v>
      </c>
      <c r="BK65" s="63" t="e">
        <f t="shared" si="102"/>
        <v>#NUM!</v>
      </c>
      <c r="BL65" s="51">
        <f t="shared" si="99"/>
        <v>55.017553488520292</v>
      </c>
      <c r="BM65" s="63">
        <f t="shared" si="100"/>
        <v>87.503824212253178</v>
      </c>
    </row>
    <row r="66" spans="1:65" x14ac:dyDescent="0.3">
      <c r="A66" t="s">
        <v>502</v>
      </c>
      <c r="B66" t="e">
        <f>SQRT((2*IOUT*Lm*Fsw*(VOUT-VIN_var)/(VIN_var^2)))</f>
        <v>#NUM!</v>
      </c>
      <c r="E66" t="s">
        <v>503</v>
      </c>
      <c r="N66" s="11">
        <v>48</v>
      </c>
      <c r="O66" s="52">
        <f t="shared" si="62"/>
        <v>30.199517204020164</v>
      </c>
      <c r="P66" s="50" t="str">
        <f t="shared" si="50"/>
        <v>23.3035714285714</v>
      </c>
      <c r="Q66" s="18" t="str">
        <f t="shared" si="51"/>
        <v>1+0.0719691467402109i</v>
      </c>
      <c r="R66" s="18">
        <f t="shared" si="63"/>
        <v>1.0025864342202691</v>
      </c>
      <c r="S66" s="18">
        <f t="shared" si="64"/>
        <v>7.1845275347150739E-2</v>
      </c>
      <c r="T66" s="18" t="str">
        <f t="shared" si="52"/>
        <v>1+0.000335856018120984i</v>
      </c>
      <c r="U66" s="18">
        <f t="shared" si="65"/>
        <v>1.0000000563996307</v>
      </c>
      <c r="V66" s="18">
        <f t="shared" si="66"/>
        <v>3.3585600549288083E-4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23.18289965458-1.67674077216315i</v>
      </c>
      <c r="AD66" s="66">
        <f t="shared" si="72"/>
        <v>27.326014444757654</v>
      </c>
      <c r="AE66" s="63">
        <f t="shared" si="73"/>
        <v>-4.1368066984440919</v>
      </c>
      <c r="AF66" s="51" t="e">
        <f t="shared" si="74"/>
        <v>#NUM!</v>
      </c>
      <c r="AG66" s="51" t="str">
        <f t="shared" si="55"/>
        <v>1-0.100756805436295i</v>
      </c>
      <c r="AH66" s="51">
        <f t="shared" si="75"/>
        <v>1.0050631491810489</v>
      </c>
      <c r="AI66" s="51">
        <f t="shared" si="76"/>
        <v>-0.10041790852143101</v>
      </c>
      <c r="AJ66" s="51" t="str">
        <f t="shared" si="56"/>
        <v>1+0.000335856018120984i</v>
      </c>
      <c r="AK66" s="51">
        <f t="shared" si="77"/>
        <v>1.0000000563996307</v>
      </c>
      <c r="AL66" s="51">
        <f t="shared" si="78"/>
        <v>3.3585600549288083E-4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24.5354351031175+550.052287999773i</v>
      </c>
      <c r="BG66" s="66">
        <f t="shared" si="94"/>
        <v>54.816711922986656</v>
      </c>
      <c r="BH66" s="63">
        <f t="shared" si="95"/>
        <v>87.4459779894392</v>
      </c>
      <c r="BI66" s="60" t="e">
        <f t="shared" si="101"/>
        <v>#NUM!</v>
      </c>
      <c r="BJ66" s="66" t="e">
        <f t="shared" si="97"/>
        <v>#NUM!</v>
      </c>
      <c r="BK66" s="63" t="e">
        <f t="shared" si="102"/>
        <v>#NUM!</v>
      </c>
      <c r="BL66" s="51">
        <f t="shared" si="99"/>
        <v>54.816711922986656</v>
      </c>
      <c r="BM66" s="63">
        <f t="shared" si="100"/>
        <v>87.4459779894392</v>
      </c>
    </row>
    <row r="67" spans="1:65" x14ac:dyDescent="0.3">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1+0.073645523519683i</v>
      </c>
      <c r="R67" s="18">
        <f t="shared" si="63"/>
        <v>1.0027081644897922</v>
      </c>
      <c r="S67" s="18">
        <f t="shared" si="64"/>
        <v>7.3512812284372717E-2</v>
      </c>
      <c r="T67" s="18" t="str">
        <f t="shared" si="52"/>
        <v>1+0.000343679109758521i</v>
      </c>
      <c r="U67" s="18">
        <f t="shared" si="65"/>
        <v>1.0000000590576634</v>
      </c>
      <c r="V67" s="18">
        <f t="shared" si="66"/>
        <v>3.4367909622726476E-4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23.1772432475259-1.71538051298876i</v>
      </c>
      <c r="AD67" s="66">
        <f t="shared" si="72"/>
        <v>27.324959958771071</v>
      </c>
      <c r="AE67" s="63">
        <f t="shared" si="73"/>
        <v>-4.2328241367608586</v>
      </c>
      <c r="AF67" s="51" t="e">
        <f t="shared" si="74"/>
        <v>#NUM!</v>
      </c>
      <c r="AG67" s="51" t="str">
        <f t="shared" si="55"/>
        <v>1-0.103103732927556i</v>
      </c>
      <c r="AH67" s="51">
        <f t="shared" si="75"/>
        <v>1.0053011388353226</v>
      </c>
      <c r="AI67" s="51">
        <f t="shared" si="76"/>
        <v>-0.10274070168097892</v>
      </c>
      <c r="AJ67" s="51" t="str">
        <f t="shared" si="56"/>
        <v>1+0.000343679109758521i</v>
      </c>
      <c r="AK67" s="51">
        <f t="shared" si="77"/>
        <v>1.0000000590576634</v>
      </c>
      <c r="AL67" s="51">
        <f t="shared" si="78"/>
        <v>3.4367909622726476E-4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24.5295776108958+537.45200544439i</v>
      </c>
      <c r="BG67" s="66">
        <f t="shared" si="94"/>
        <v>54.615830939236417</v>
      </c>
      <c r="BH67" s="63">
        <f t="shared" si="95"/>
        <v>87.386805512995878</v>
      </c>
      <c r="BI67" s="60" t="e">
        <f t="shared" si="101"/>
        <v>#NUM!</v>
      </c>
      <c r="BJ67" s="66" t="e">
        <f t="shared" si="97"/>
        <v>#NUM!</v>
      </c>
      <c r="BK67" s="63" t="e">
        <f t="shared" si="102"/>
        <v>#NUM!</v>
      </c>
      <c r="BL67" s="51">
        <f t="shared" si="99"/>
        <v>54.615830939236417</v>
      </c>
      <c r="BM67" s="63">
        <f t="shared" si="100"/>
        <v>87.386805512995878</v>
      </c>
    </row>
    <row r="68" spans="1:65" x14ac:dyDescent="0.3">
      <c r="A68" s="32" t="s">
        <v>475</v>
      </c>
      <c r="B68" s="32" t="e">
        <f>(B67*2*VOUT/DC_VIN_var_DCM)*(((VOUT/VIN_var)-1)/((2*VOUT/VIN_var)-1))</f>
        <v>#NUM!</v>
      </c>
      <c r="C68" s="32" t="s">
        <v>147</v>
      </c>
      <c r="N68" s="11">
        <v>50</v>
      </c>
      <c r="O68" s="52">
        <f t="shared" si="62"/>
        <v>31.622776601683803</v>
      </c>
      <c r="P68" s="50" t="str">
        <f t="shared" si="50"/>
        <v>23.3035714285714</v>
      </c>
      <c r="Q68" s="18" t="str">
        <f t="shared" si="51"/>
        <v>1+0.075360948130539i</v>
      </c>
      <c r="R68" s="18">
        <f t="shared" si="63"/>
        <v>1.0028356158928211</v>
      </c>
      <c r="S68" s="18">
        <f t="shared" si="64"/>
        <v>7.5218767187401725E-2</v>
      </c>
      <c r="T68" s="18" t="str">
        <f t="shared" si="52"/>
        <v>1+0.000351684424609182i</v>
      </c>
      <c r="U68" s="18">
        <f t="shared" si="65"/>
        <v>1.0000000618409652</v>
      </c>
      <c r="V68" s="18">
        <f t="shared" si="66"/>
        <v>3.5168441011017976E-4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23.1713232053065-1.75489071806482i</v>
      </c>
      <c r="AD68" s="66">
        <f t="shared" si="72"/>
        <v>27.323856050770345</v>
      </c>
      <c r="AE68" s="63">
        <f t="shared" si="73"/>
        <v>-4.3310538174496838</v>
      </c>
      <c r="AF68" s="51" t="e">
        <f t="shared" si="74"/>
        <v>#NUM!</v>
      </c>
      <c r="AG68" s="51" t="str">
        <f t="shared" si="55"/>
        <v>1-0.105505327382755i</v>
      </c>
      <c r="AH68" s="51">
        <f t="shared" si="75"/>
        <v>1.0055502842255788</v>
      </c>
      <c r="AI68" s="51">
        <f t="shared" si="76"/>
        <v>-0.1051164482629206</v>
      </c>
      <c r="AJ68" s="51" t="str">
        <f t="shared" si="56"/>
        <v>1+0.000351684424609182i</v>
      </c>
      <c r="AK68" s="51">
        <f t="shared" si="77"/>
        <v>1.0000000618409652</v>
      </c>
      <c r="AL68" s="51">
        <f t="shared" si="78"/>
        <v>3.5168441011017976E-4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24.5234471112608+525.136727497555i</v>
      </c>
      <c r="BG68" s="66">
        <f t="shared" si="94"/>
        <v>54.414908702910274</v>
      </c>
      <c r="BH68" s="63">
        <f t="shared" si="95"/>
        <v>87.326277392036644</v>
      </c>
      <c r="BI68" s="60" t="e">
        <f t="shared" si="101"/>
        <v>#NUM!</v>
      </c>
      <c r="BJ68" s="66" t="e">
        <f t="shared" si="97"/>
        <v>#NUM!</v>
      </c>
      <c r="BK68" s="63" t="e">
        <f t="shared" si="102"/>
        <v>#NUM!</v>
      </c>
      <c r="BL68" s="51">
        <f t="shared" si="99"/>
        <v>54.414908702910274</v>
      </c>
      <c r="BM68" s="63">
        <f t="shared" si="100"/>
        <v>87.326277392036644</v>
      </c>
    </row>
    <row r="69" spans="1:65" x14ac:dyDescent="0.3">
      <c r="A69" s="32" t="s">
        <v>505</v>
      </c>
      <c r="B69" s="32">
        <f>(IOUT_VAR*((2*VOUT)-VIN_var))/(Cout*VOUT*(VOUT-VIN_var))</f>
        <v>-1883.2391713747645</v>
      </c>
      <c r="C69" s="32" t="s">
        <v>392</v>
      </c>
      <c r="N69" s="11">
        <v>51</v>
      </c>
      <c r="O69" s="52">
        <f t="shared" si="62"/>
        <v>32.359365692962832</v>
      </c>
      <c r="P69" s="50" t="str">
        <f t="shared" si="50"/>
        <v>23.3035714285714</v>
      </c>
      <c r="Q69" s="18" t="str">
        <f t="shared" si="51"/>
        <v>1+0.0771163301136139i</v>
      </c>
      <c r="R69" s="18">
        <f t="shared" si="63"/>
        <v>1.0029690565367368</v>
      </c>
      <c r="S69" s="18">
        <f t="shared" si="64"/>
        <v>7.6964004835387914E-2</v>
      </c>
      <c r="T69" s="18" t="str">
        <f t="shared" si="52"/>
        <v>1+0.000359876207196865i</v>
      </c>
      <c r="U69" s="18">
        <f t="shared" si="65"/>
        <v>1.0000000647554401</v>
      </c>
      <c r="V69" s="18">
        <f t="shared" si="66"/>
        <v>3.5987619166090424E-4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23.1651273846614-1.79528957508879i</v>
      </c>
      <c r="AD69" s="66">
        <f t="shared" si="72"/>
        <v>27.322700417886381</v>
      </c>
      <c r="AE69" s="63">
        <f t="shared" si="73"/>
        <v>-4.4315455462113968</v>
      </c>
      <c r="AF69" s="51" t="e">
        <f t="shared" si="74"/>
        <v>#NUM!</v>
      </c>
      <c r="AG69" s="51" t="str">
        <f t="shared" si="55"/>
        <v>1-0.10796286215906i</v>
      </c>
      <c r="AH69" s="51">
        <f t="shared" si="75"/>
        <v>1.0058111053302088</v>
      </c>
      <c r="AI69" s="51">
        <f t="shared" si="76"/>
        <v>-0.10754630058796572</v>
      </c>
      <c r="AJ69" s="51" t="str">
        <f t="shared" si="56"/>
        <v>1+0.000359876207196865i</v>
      </c>
      <c r="AK69" s="51">
        <f t="shared" si="77"/>
        <v>1.0000000647554401</v>
      </c>
      <c r="AL69" s="51">
        <f t="shared" si="78"/>
        <v>3.5987619166090424E-4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24.517031029256+513.099927295176i</v>
      </c>
      <c r="BG69" s="66">
        <f t="shared" si="94"/>
        <v>54.21394329543304</v>
      </c>
      <c r="BH69" s="63">
        <f t="shared" si="95"/>
        <v>87.264363657046914</v>
      </c>
      <c r="BI69" s="60" t="e">
        <f t="shared" si="101"/>
        <v>#NUM!</v>
      </c>
      <c r="BJ69" s="66" t="e">
        <f t="shared" si="97"/>
        <v>#NUM!</v>
      </c>
      <c r="BK69" s="63" t="e">
        <f t="shared" si="102"/>
        <v>#NUM!</v>
      </c>
      <c r="BL69" s="51">
        <f t="shared" si="99"/>
        <v>54.21394329543304</v>
      </c>
      <c r="BM69" s="63">
        <f t="shared" si="100"/>
        <v>87.264363657046914</v>
      </c>
    </row>
    <row r="70" spans="1:65" x14ac:dyDescent="0.3">
      <c r="A70" s="32"/>
      <c r="B70" s="32">
        <f>B69/(2*PI())</f>
        <v>-299.72682314857877</v>
      </c>
      <c r="C70" s="32" t="s">
        <v>67</v>
      </c>
      <c r="N70" s="11">
        <v>52</v>
      </c>
      <c r="O70" s="52">
        <f t="shared" si="62"/>
        <v>33.113112148259127</v>
      </c>
      <c r="P70" s="50" t="str">
        <f t="shared" si="50"/>
        <v>23.3035714285714</v>
      </c>
      <c r="Q70" s="18" t="str">
        <f t="shared" si="51"/>
        <v>1+0.0789126001956707i</v>
      </c>
      <c r="R70" s="18">
        <f t="shared" si="63"/>
        <v>1.0031087670186329</v>
      </c>
      <c r="S70" s="18">
        <f t="shared" si="64"/>
        <v>7.8749408026731638E-2</v>
      </c>
      <c r="T70" s="18" t="str">
        <f t="shared" si="52"/>
        <v>1+0.00036825880091313i</v>
      </c>
      <c r="U70" s="18">
        <f t="shared" si="65"/>
        <v>1.00000006780727</v>
      </c>
      <c r="V70" s="18">
        <f t="shared" si="66"/>
        <v>3.6825878426604815E-4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23.1586430968308-1.83659554931643i</v>
      </c>
      <c r="AD70" s="66">
        <f t="shared" si="72"/>
        <v>27.321490651235738</v>
      </c>
      <c r="AE70" s="63">
        <f t="shared" si="73"/>
        <v>-4.5343501671720707</v>
      </c>
      <c r="AF70" s="51" t="e">
        <f t="shared" si="74"/>
        <v>#NUM!</v>
      </c>
      <c r="AG70" s="51" t="str">
        <f t="shared" si="55"/>
        <v>1-0.110477640273939i</v>
      </c>
      <c r="AH70" s="51">
        <f t="shared" si="75"/>
        <v>1.0060841460834664</v>
      </c>
      <c r="AI70" s="51">
        <f t="shared" si="76"/>
        <v>-0.11003143216310637</v>
      </c>
      <c r="AJ70" s="51" t="str">
        <f t="shared" si="56"/>
        <v>1+0.00036825880091313i</v>
      </c>
      <c r="AK70" s="51">
        <f t="shared" si="77"/>
        <v>1.00000006780727</v>
      </c>
      <c r="AL70" s="51">
        <f t="shared" si="78"/>
        <v>3.6825878426604815E-4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24.5103162250334+501.335225826222i</v>
      </c>
      <c r="BG70" s="66">
        <f t="shared" si="94"/>
        <v>54.012932710256734</v>
      </c>
      <c r="BH70" s="63">
        <f t="shared" si="95"/>
        <v>87.201033753813988</v>
      </c>
      <c r="BI70" s="60" t="e">
        <f t="shared" si="101"/>
        <v>#NUM!</v>
      </c>
      <c r="BJ70" s="66" t="e">
        <f t="shared" si="97"/>
        <v>#NUM!</v>
      </c>
      <c r="BK70" s="63" t="e">
        <f t="shared" si="102"/>
        <v>#NUM!</v>
      </c>
      <c r="BL70" s="51">
        <f t="shared" si="99"/>
        <v>54.012932710256734</v>
      </c>
      <c r="BM70" s="63">
        <f t="shared" si="100"/>
        <v>87.201033753813988</v>
      </c>
    </row>
    <row r="71" spans="1:65" x14ac:dyDescent="0.3">
      <c r="A71" s="32" t="s">
        <v>478</v>
      </c>
      <c r="B71" s="32">
        <f>1/(Cout*Resr)</f>
        <v>564971.75141242938</v>
      </c>
      <c r="C71" s="32" t="s">
        <v>392</v>
      </c>
      <c r="N71" s="11">
        <v>53</v>
      </c>
      <c r="O71" s="52">
        <f t="shared" si="62"/>
        <v>33.884415613920268</v>
      </c>
      <c r="P71" s="50" t="str">
        <f t="shared" si="50"/>
        <v>23.3035714285714</v>
      </c>
      <c r="Q71" s="18" t="str">
        <f t="shared" si="51"/>
        <v>1+0.0807507107828823i</v>
      </c>
      <c r="R71" s="18">
        <f t="shared" si="63"/>
        <v>1.0032550410000145</v>
      </c>
      <c r="S71" s="18">
        <f t="shared" si="64"/>
        <v>8.0575877850273925E-2</v>
      </c>
      <c r="T71" s="18" t="str">
        <f t="shared" si="52"/>
        <v>1+0.000376836650320118i</v>
      </c>
      <c r="U71" s="18">
        <f t="shared" si="65"/>
        <v>1.000000071002928</v>
      </c>
      <c r="V71" s="18">
        <f t="shared" si="66"/>
        <v>3.7683663248244849E-4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23.1518570843794-1.87882737996907i</v>
      </c>
      <c r="AD71" s="66">
        <f t="shared" si="72"/>
        <v>27.320224231163959</v>
      </c>
      <c r="AE71" s="63">
        <f t="shared" si="73"/>
        <v>-4.6395195785604066</v>
      </c>
      <c r="AF71" s="51" t="e">
        <f t="shared" si="74"/>
        <v>#NUM!</v>
      </c>
      <c r="AG71" s="51" t="str">
        <f t="shared" si="55"/>
        <v>1-0.113050995096036i</v>
      </c>
      <c r="AH71" s="51">
        <f t="shared" si="75"/>
        <v>1.0063699754524695</v>
      </c>
      <c r="AI71" s="51">
        <f t="shared" si="76"/>
        <v>-0.11257303778828034</v>
      </c>
      <c r="AJ71" s="51" t="str">
        <f t="shared" si="56"/>
        <v>1+0.000376836650320118i</v>
      </c>
      <c r="AK71" s="51">
        <f t="shared" si="77"/>
        <v>1.000000071002928</v>
      </c>
      <c r="AL71" s="51">
        <f t="shared" si="78"/>
        <v>3.7683663248244849E-4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24.503288969851+489.836388564377i</v>
      </c>
      <c r="BG71" s="66">
        <f t="shared" si="94"/>
        <v>53.811874848947916</v>
      </c>
      <c r="BH71" s="63">
        <f t="shared" si="95"/>
        <v>87.136256537725558</v>
      </c>
      <c r="BI71" s="60" t="e">
        <f t="shared" si="101"/>
        <v>#NUM!</v>
      </c>
      <c r="BJ71" s="66" t="e">
        <f t="shared" si="97"/>
        <v>#NUM!</v>
      </c>
      <c r="BK71" s="63" t="e">
        <f t="shared" si="102"/>
        <v>#NUM!</v>
      </c>
      <c r="BL71" s="51">
        <f t="shared" si="99"/>
        <v>53.811874848947916</v>
      </c>
      <c r="BM71" s="63">
        <f t="shared" si="100"/>
        <v>87.136256537725558</v>
      </c>
    </row>
    <row r="72" spans="1:65" x14ac:dyDescent="0.3">
      <c r="A72" s="32"/>
      <c r="B72" s="32">
        <f>B71/(2*PI())</f>
        <v>89918.046944573638</v>
      </c>
      <c r="C72" s="32" t="s">
        <v>67</v>
      </c>
      <c r="N72" s="11">
        <v>54</v>
      </c>
      <c r="O72" s="52">
        <f t="shared" si="62"/>
        <v>34.67368504525318</v>
      </c>
      <c r="P72" s="50" t="str">
        <f t="shared" si="50"/>
        <v>23.3035714285714</v>
      </c>
      <c r="Q72" s="18" t="str">
        <f t="shared" si="51"/>
        <v>1+0.0826316364658135i</v>
      </c>
      <c r="R72" s="18">
        <f t="shared" si="63"/>
        <v>1.0034081858072608</v>
      </c>
      <c r="S72" s="18">
        <f t="shared" si="64"/>
        <v>8.2444333952592402E-2</v>
      </c>
      <c r="T72" s="18" t="str">
        <f t="shared" si="52"/>
        <v>1+0.00038561430350713i</v>
      </c>
      <c r="U72" s="18">
        <f t="shared" si="65"/>
        <v>1.0000000743491928</v>
      </c>
      <c r="V72" s="18">
        <f t="shared" si="66"/>
        <v>3.8561428439372287E-4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23.1447554971642-1.92200407588489i</v>
      </c>
      <c r="AD72" s="66">
        <f t="shared" si="72"/>
        <v>27.318898522287181</v>
      </c>
      <c r="AE72" s="63">
        <f t="shared" si="73"/>
        <v>-4.7471067481659324</v>
      </c>
      <c r="AF72" s="51" t="e">
        <f t="shared" si="74"/>
        <v>#NUM!</v>
      </c>
      <c r="AG72" s="51" t="str">
        <f t="shared" si="55"/>
        <v>1-0.115684291052139i</v>
      </c>
      <c r="AH72" s="51">
        <f t="shared" si="75"/>
        <v>1.0066691885600929</v>
      </c>
      <c r="AI72" s="51">
        <f t="shared" si="76"/>
        <v>-0.11517233363993749</v>
      </c>
      <c r="AJ72" s="51" t="str">
        <f t="shared" si="56"/>
        <v>1+0.00038561430350713i</v>
      </c>
      <c r="AK72" s="51">
        <f t="shared" si="77"/>
        <v>1.0000000743491928</v>
      </c>
      <c r="AL72" s="51">
        <f t="shared" si="78"/>
        <v>3.8561428439372287E-4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24.4959349211902+478.597322177205i</v>
      </c>
      <c r="BG72" s="66">
        <f t="shared" si="94"/>
        <v>53.610767517112023</v>
      </c>
      <c r="BH72" s="63">
        <f t="shared" si="95"/>
        <v>87.070000268477941</v>
      </c>
      <c r="BI72" s="60" t="e">
        <f t="shared" si="101"/>
        <v>#NUM!</v>
      </c>
      <c r="BJ72" s="66" t="e">
        <f t="shared" si="97"/>
        <v>#NUM!</v>
      </c>
      <c r="BK72" s="63" t="e">
        <f t="shared" si="102"/>
        <v>#NUM!</v>
      </c>
      <c r="BL72" s="51">
        <f t="shared" si="99"/>
        <v>53.610767517112023</v>
      </c>
      <c r="BM72" s="63">
        <f t="shared" si="100"/>
        <v>87.070000268477941</v>
      </c>
    </row>
    <row r="73" spans="1:65" x14ac:dyDescent="0.3">
      <c r="A73" s="32" t="s">
        <v>479</v>
      </c>
      <c r="B73" s="32" t="e">
        <f>2*Fsw/(DC_VIN_var_DCM)</f>
        <v>#NUM!</v>
      </c>
      <c r="C73" s="32" t="s">
        <v>392</v>
      </c>
      <c r="N73" s="11">
        <v>55</v>
      </c>
      <c r="O73" s="52">
        <f t="shared" si="62"/>
        <v>35.481338923357555</v>
      </c>
      <c r="P73" s="50" t="str">
        <f t="shared" si="50"/>
        <v>23.3035714285714</v>
      </c>
      <c r="Q73" s="18" t="str">
        <f t="shared" si="51"/>
        <v>1+0.0845563745361577i</v>
      </c>
      <c r="R73" s="18">
        <f t="shared" si="63"/>
        <v>1.0035685230589384</v>
      </c>
      <c r="S73" s="18">
        <f t="shared" si="64"/>
        <v>8.4355714800617224E-2</v>
      </c>
      <c r="T73" s="18" t="str">
        <f t="shared" si="52"/>
        <v>1+0.000394596414502069i</v>
      </c>
      <c r="U73" s="18">
        <f t="shared" si="65"/>
        <v>1.0000000778531621</v>
      </c>
      <c r="V73" s="18">
        <f t="shared" si="66"/>
        <v>3.9459639402168435E-4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23.1373238674281-1.96614491035326i</v>
      </c>
      <c r="AD73" s="66">
        <f t="shared" si="72"/>
        <v>27.317510768324851</v>
      </c>
      <c r="AE73" s="63">
        <f t="shared" si="73"/>
        <v>-4.8571657285318652</v>
      </c>
      <c r="AF73" s="51" t="e">
        <f t="shared" si="74"/>
        <v>#NUM!</v>
      </c>
      <c r="AG73" s="51" t="str">
        <f t="shared" si="55"/>
        <v>1-0.118378924350621i</v>
      </c>
      <c r="AH73" s="51">
        <f t="shared" si="75"/>
        <v>1.006982407855475</v>
      </c>
      <c r="AI73" s="51">
        <f t="shared" si="76"/>
        <v>-0.11783055732939182</v>
      </c>
      <c r="AJ73" s="51" t="str">
        <f t="shared" si="56"/>
        <v>1+0.000394596414502069i</v>
      </c>
      <c r="AK73" s="51">
        <f t="shared" si="77"/>
        <v>1.0000000778531621</v>
      </c>
      <c r="AL73" s="51">
        <f t="shared" si="78"/>
        <v>3.9459639402168435E-4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24.4882390969592+467.612071311149i</v>
      </c>
      <c r="BG73" s="66">
        <f t="shared" si="94"/>
        <v>53.409608420149361</v>
      </c>
      <c r="BH73" s="63">
        <f t="shared" si="95"/>
        <v>87.002232605241034</v>
      </c>
      <c r="BI73" s="60" t="e">
        <f t="shared" si="101"/>
        <v>#NUM!</v>
      </c>
      <c r="BJ73" s="66" t="e">
        <f t="shared" si="97"/>
        <v>#NUM!</v>
      </c>
      <c r="BK73" s="63" t="e">
        <f t="shared" si="102"/>
        <v>#NUM!</v>
      </c>
      <c r="BL73" s="51">
        <f t="shared" si="99"/>
        <v>53.409608420149361</v>
      </c>
      <c r="BM73" s="63">
        <f t="shared" si="100"/>
        <v>87.002232605241034</v>
      </c>
    </row>
    <row r="74" spans="1:65" x14ac:dyDescent="0.3">
      <c r="A74" s="32"/>
      <c r="B74" s="32" t="e">
        <f>B73/(2*PI())</f>
        <v>#NUM!</v>
      </c>
      <c r="C74" s="32" t="s">
        <v>67</v>
      </c>
      <c r="N74" s="11">
        <v>56</v>
      </c>
      <c r="O74" s="52">
        <f t="shared" si="62"/>
        <v>36.307805477010156</v>
      </c>
      <c r="P74" s="50" t="str">
        <f t="shared" si="50"/>
        <v>23.3035714285714</v>
      </c>
      <c r="Q74" s="18" t="str">
        <f t="shared" si="51"/>
        <v>1+0.0865259455155173i</v>
      </c>
      <c r="R74" s="18">
        <f t="shared" si="63"/>
        <v>1.0037363893210978</v>
      </c>
      <c r="S74" s="18">
        <f t="shared" si="64"/>
        <v>8.6310977938747299E-2</v>
      </c>
      <c r="T74" s="18" t="str">
        <f t="shared" si="52"/>
        <v>1+0.000403787745739081i</v>
      </c>
      <c r="U74" s="18">
        <f t="shared" si="65"/>
        <v>1.0000000815222685</v>
      </c>
      <c r="V74" s="18">
        <f t="shared" si="66"/>
        <v>4.0378772379395361E-4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23.1295470840011-2.0112694150688i</v>
      </c>
      <c r="AD74" s="66">
        <f t="shared" si="72"/>
        <v>27.316058086715785</v>
      </c>
      <c r="AE74" s="63">
        <f t="shared" si="73"/>
        <v>-4.969751671836681</v>
      </c>
      <c r="AF74" s="51" t="e">
        <f t="shared" si="74"/>
        <v>#NUM!</v>
      </c>
      <c r="AG74" s="51" t="str">
        <f t="shared" si="55"/>
        <v>1-0.121136323721724i</v>
      </c>
      <c r="AH74" s="51">
        <f t="shared" si="75"/>
        <v>1.0073102843338859</v>
      </c>
      <c r="AI74" s="51">
        <f t="shared" si="76"/>
        <v>-0.12054896793368727</v>
      </c>
      <c r="AJ74" s="51" t="str">
        <f t="shared" si="56"/>
        <v>1+0.000403787745739081i</v>
      </c>
      <c r="AK74" s="51">
        <f t="shared" si="77"/>
        <v>1.0000000815222685</v>
      </c>
      <c r="AL74" s="51">
        <f t="shared" si="78"/>
        <v>4.0378772379395361E-4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24.4801858487819+456.874815450792i</v>
      </c>
      <c r="BG74" s="66">
        <f t="shared" si="94"/>
        <v>53.20839515883808</v>
      </c>
      <c r="BH74" s="63">
        <f t="shared" si="95"/>
        <v>86.932920602327769</v>
      </c>
      <c r="BI74" s="60" t="e">
        <f t="shared" si="101"/>
        <v>#NUM!</v>
      </c>
      <c r="BJ74" s="66" t="e">
        <f t="shared" si="97"/>
        <v>#NUM!</v>
      </c>
      <c r="BK74" s="63" t="e">
        <f t="shared" si="102"/>
        <v>#NUM!</v>
      </c>
      <c r="BL74" s="51">
        <f t="shared" si="99"/>
        <v>53.20839515883808</v>
      </c>
      <c r="BM74" s="63">
        <f t="shared" si="100"/>
        <v>86.932920602327769</v>
      </c>
    </row>
    <row r="75" spans="1:65" x14ac:dyDescent="0.3">
      <c r="N75" s="11">
        <v>57</v>
      </c>
      <c r="O75" s="52">
        <f t="shared" si="62"/>
        <v>37.15352290971726</v>
      </c>
      <c r="P75" s="50" t="str">
        <f t="shared" si="50"/>
        <v>23.3035714285714</v>
      </c>
      <c r="Q75" s="18" t="str">
        <f t="shared" si="51"/>
        <v>1+0.0885413936964951i</v>
      </c>
      <c r="R75" s="18">
        <f t="shared" si="63"/>
        <v>1.0039121367917203</v>
      </c>
      <c r="S75" s="18">
        <f t="shared" si="64"/>
        <v>8.8311100239555643E-2</v>
      </c>
      <c r="T75" s="18" t="str">
        <f t="shared" si="52"/>
        <v>1+0.000413193170583644i</v>
      </c>
      <c r="U75" s="18">
        <f t="shared" si="65"/>
        <v>1.0000000853642945</v>
      </c>
      <c r="V75" s="18">
        <f t="shared" si="66"/>
        <v>4.1319314706901643E-4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23.1214093655941-2.05739737313667i</v>
      </c>
      <c r="AD75" s="66">
        <f t="shared" si="72"/>
        <v>27.314537463010321</v>
      </c>
      <c r="AE75" s="63">
        <f t="shared" si="73"/>
        <v>-5.0849208444115312</v>
      </c>
      <c r="AF75" s="51" t="e">
        <f t="shared" si="74"/>
        <v>#NUM!</v>
      </c>
      <c r="AG75" s="51" t="str">
        <f t="shared" si="55"/>
        <v>1-0.123957951175093i</v>
      </c>
      <c r="AH75" s="51">
        <f t="shared" si="75"/>
        <v>1.0076534988077632</v>
      </c>
      <c r="AI75" s="51">
        <f t="shared" si="76"/>
        <v>-0.12332884599659198</v>
      </c>
      <c r="AJ75" s="51" t="str">
        <f t="shared" si="56"/>
        <v>1+0.000413193170583644i</v>
      </c>
      <c r="AK75" s="51">
        <f t="shared" si="77"/>
        <v>1.0000000853642945</v>
      </c>
      <c r="AL75" s="51">
        <f t="shared" si="78"/>
        <v>4.1319314706901643E-4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24.4717588343382+446.37986585069i</v>
      </c>
      <c r="BG75" s="66">
        <f t="shared" si="94"/>
        <v>53.007125224736939</v>
      </c>
      <c r="BH75" s="63">
        <f t="shared" si="95"/>
        <v>86.862030705421631</v>
      </c>
      <c r="BI75" s="60" t="e">
        <f t="shared" si="101"/>
        <v>#NUM!</v>
      </c>
      <c r="BJ75" s="66" t="e">
        <f t="shared" si="97"/>
        <v>#NUM!</v>
      </c>
      <c r="BK75" s="63" t="e">
        <f t="shared" si="102"/>
        <v>#NUM!</v>
      </c>
      <c r="BL75" s="51">
        <f t="shared" si="99"/>
        <v>53.007125224736939</v>
      </c>
      <c r="BM75" s="63">
        <f t="shared" si="100"/>
        <v>86.862030705421631</v>
      </c>
    </row>
    <row r="76" spans="1:65" x14ac:dyDescent="0.3">
      <c r="N76" s="11">
        <v>58</v>
      </c>
      <c r="O76" s="52">
        <f t="shared" si="62"/>
        <v>38.018939632056139</v>
      </c>
      <c r="P76" s="50" t="str">
        <f t="shared" si="50"/>
        <v>23.3035714285714</v>
      </c>
      <c r="Q76" s="18" t="str">
        <f t="shared" si="51"/>
        <v>1+0.0906037876963948i</v>
      </c>
      <c r="R76" s="18">
        <f t="shared" si="63"/>
        <v>1.0040961340155301</v>
      </c>
      <c r="S76" s="18">
        <f t="shared" si="64"/>
        <v>9.0357078147126471E-2</v>
      </c>
      <c r="T76" s="18" t="str">
        <f t="shared" si="52"/>
        <v>1+0.000422817675916509i</v>
      </c>
      <c r="U76" s="18">
        <f t="shared" si="65"/>
        <v>1.0000000893873895</v>
      </c>
      <c r="V76" s="18">
        <f t="shared" si="66"/>
        <v>4.2281765072013172E-4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23.112894233169-2.10454881105724i</v>
      </c>
      <c r="AD76" s="66">
        <f t="shared" si="72"/>
        <v>27.312945745030262</v>
      </c>
      <c r="AE76" s="63">
        <f t="shared" si="73"/>
        <v>-5.2027306408392171</v>
      </c>
      <c r="AF76" s="51" t="e">
        <f t="shared" si="74"/>
        <v>#NUM!</v>
      </c>
      <c r="AG76" s="51" t="str">
        <f t="shared" si="55"/>
        <v>1-0.126845302774953i</v>
      </c>
      <c r="AH76" s="51">
        <f t="shared" si="75"/>
        <v>1.0080127632307387</v>
      </c>
      <c r="AI76" s="51">
        <f t="shared" si="76"/>
        <v>-0.12617149349716558</v>
      </c>
      <c r="AJ76" s="51" t="str">
        <f t="shared" si="56"/>
        <v>1+0.000422817675916509i</v>
      </c>
      <c r="AK76" s="51">
        <f t="shared" si="77"/>
        <v>1.0000000893873895</v>
      </c>
      <c r="AL76" s="51">
        <f t="shared" si="78"/>
        <v>4.2281765072013172E-4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24.4629409887542+436.121662538296i</v>
      </c>
      <c r="BG76" s="66">
        <f t="shared" si="94"/>
        <v>52.80579599540328</v>
      </c>
      <c r="BH76" s="63">
        <f t="shared" si="95"/>
        <v>86.789528748417709</v>
      </c>
      <c r="BI76" s="60" t="e">
        <f t="shared" si="101"/>
        <v>#NUM!</v>
      </c>
      <c r="BJ76" s="66" t="e">
        <f t="shared" si="97"/>
        <v>#NUM!</v>
      </c>
      <c r="BK76" s="63" t="e">
        <f t="shared" si="102"/>
        <v>#NUM!</v>
      </c>
      <c r="BL76" s="51">
        <f t="shared" si="99"/>
        <v>52.80579599540328</v>
      </c>
      <c r="BM76" s="63">
        <f t="shared" si="100"/>
        <v>86.789528748417709</v>
      </c>
    </row>
    <row r="77" spans="1:65" x14ac:dyDescent="0.3">
      <c r="N77" s="11">
        <v>59</v>
      </c>
      <c r="O77" s="52">
        <f t="shared" si="62"/>
        <v>38.904514499428053</v>
      </c>
      <c r="P77" s="50" t="str">
        <f t="shared" si="50"/>
        <v>23.3035714285714</v>
      </c>
      <c r="Q77" s="18" t="str">
        <f t="shared" si="51"/>
        <v>1+0.092714221023814i</v>
      </c>
      <c r="R77" s="18">
        <f t="shared" si="63"/>
        <v>1.0042887666304212</v>
      </c>
      <c r="S77" s="18">
        <f t="shared" si="64"/>
        <v>9.244992791197347E-2</v>
      </c>
      <c r="T77" s="18" t="str">
        <f t="shared" si="52"/>
        <v>1+0.000432666364777799i</v>
      </c>
      <c r="U77" s="18">
        <f t="shared" si="65"/>
        <v>1.0000000936000872</v>
      </c>
      <c r="V77" s="18">
        <f t="shared" si="66"/>
        <v>4.3266633777939447E-4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23.1039844813733-2.15274398961338i</v>
      </c>
      <c r="AD77" s="66">
        <f t="shared" si="72"/>
        <v>27.311279636789049</v>
      </c>
      <c r="AE77" s="63">
        <f t="shared" si="73"/>
        <v>-5.3232395975744167</v>
      </c>
      <c r="AF77" s="51" t="e">
        <f t="shared" si="74"/>
        <v>#NUM!</v>
      </c>
      <c r="AG77" s="51" t="str">
        <f t="shared" si="55"/>
        <v>1-0.12979990943334i</v>
      </c>
      <c r="AH77" s="51">
        <f t="shared" si="75"/>
        <v>1.0083888220765358</v>
      </c>
      <c r="AI77" s="51">
        <f t="shared" si="76"/>
        <v>-0.12907823378319941</v>
      </c>
      <c r="AJ77" s="51" t="str">
        <f t="shared" si="56"/>
        <v>1+0.000432666364777799i</v>
      </c>
      <c r="AK77" s="51">
        <f t="shared" si="77"/>
        <v>1.0000000936000872</v>
      </c>
      <c r="AL77" s="51">
        <f t="shared" si="78"/>
        <v>4.3266633777939447E-4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24.4537144950193+426.094771386414i</v>
      </c>
      <c r="BG77" s="66">
        <f t="shared" si="94"/>
        <v>52.604404729419613</v>
      </c>
      <c r="BH77" s="63">
        <f t="shared" si="95"/>
        <v>86.715379950937887</v>
      </c>
      <c r="BI77" s="60" t="e">
        <f t="shared" si="101"/>
        <v>#NUM!</v>
      </c>
      <c r="BJ77" s="66" t="e">
        <f t="shared" si="97"/>
        <v>#NUM!</v>
      </c>
      <c r="BK77" s="63" t="e">
        <f t="shared" si="102"/>
        <v>#NUM!</v>
      </c>
      <c r="BL77" s="51">
        <f t="shared" si="99"/>
        <v>52.604404729419613</v>
      </c>
      <c r="BM77" s="63">
        <f t="shared" si="100"/>
        <v>86.715379950937887</v>
      </c>
    </row>
    <row r="78" spans="1:65" x14ac:dyDescent="0.3">
      <c r="N78" s="11">
        <v>60</v>
      </c>
      <c r="O78" s="52">
        <f t="shared" si="62"/>
        <v>39.810717055349755</v>
      </c>
      <c r="P78" s="50" t="str">
        <f t="shared" si="50"/>
        <v>23.3035714285714</v>
      </c>
      <c r="Q78" s="18" t="str">
        <f t="shared" si="51"/>
        <v>1+0.0948738126584376i</v>
      </c>
      <c r="R78" s="18">
        <f t="shared" si="63"/>
        <v>1.0044904381467989</v>
      </c>
      <c r="S78" s="18">
        <f t="shared" si="64"/>
        <v>9.4590685816427961E-2</v>
      </c>
      <c r="T78" s="18" t="str">
        <f t="shared" si="52"/>
        <v>1+0.000442744459072709i</v>
      </c>
      <c r="U78" s="18">
        <f t="shared" si="65"/>
        <v>1.0000000980113233</v>
      </c>
      <c r="V78" s="18">
        <f t="shared" si="66"/>
        <v>4.4274443014339748E-4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23.094662149027-2.20200339357935i</v>
      </c>
      <c r="AD78" s="66">
        <f t="shared" si="72"/>
        <v>27.309535692163767</v>
      </c>
      <c r="AE78" s="63">
        <f t="shared" si="73"/>
        <v>-5.4465074060216443</v>
      </c>
      <c r="AF78" s="51" t="e">
        <f t="shared" si="74"/>
        <v>#NUM!</v>
      </c>
      <c r="AG78" s="51" t="str">
        <f t="shared" si="55"/>
        <v>1-0.132823337721813i</v>
      </c>
      <c r="AH78" s="51">
        <f t="shared" si="75"/>
        <v>1.0087824537746297</v>
      </c>
      <c r="AI78" s="51">
        <f t="shared" si="76"/>
        <v>-0.13205041146667637</v>
      </c>
      <c r="AJ78" s="51" t="str">
        <f t="shared" si="56"/>
        <v>1+0.000442744459072709i</v>
      </c>
      <c r="AK78" s="51">
        <f t="shared" si="77"/>
        <v>1.0000000980113233</v>
      </c>
      <c r="AL78" s="51">
        <f t="shared" si="78"/>
        <v>4.4274443014339748E-4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24.4440607534257+416.293881253747i</v>
      </c>
      <c r="BG78" s="66">
        <f t="shared" si="94"/>
        <v>52.402948561223681</v>
      </c>
      <c r="BH78" s="63">
        <f t="shared" si="95"/>
        <v>86.639548916584289</v>
      </c>
      <c r="BI78" s="60" t="e">
        <f t="shared" si="101"/>
        <v>#NUM!</v>
      </c>
      <c r="BJ78" s="66" t="e">
        <f t="shared" si="97"/>
        <v>#NUM!</v>
      </c>
      <c r="BK78" s="63" t="e">
        <f t="shared" si="102"/>
        <v>#NUM!</v>
      </c>
      <c r="BL78" s="51">
        <f t="shared" si="99"/>
        <v>52.402948561223681</v>
      </c>
      <c r="BM78" s="63">
        <f t="shared" si="100"/>
        <v>86.639548916584289</v>
      </c>
    </row>
    <row r="79" spans="1:65" x14ac:dyDescent="0.3">
      <c r="N79" s="11">
        <v>61</v>
      </c>
      <c r="O79" s="52">
        <f t="shared" si="62"/>
        <v>40.738027780411279</v>
      </c>
      <c r="P79" s="50" t="str">
        <f t="shared" si="50"/>
        <v>23.3035714285714</v>
      </c>
      <c r="Q79" s="18" t="str">
        <f t="shared" si="51"/>
        <v>1+0.0970837076443364i</v>
      </c>
      <c r="R79" s="18">
        <f t="shared" si="63"/>
        <v>1.0047015707611742</v>
      </c>
      <c r="S79" s="18">
        <f t="shared" si="64"/>
        <v>9.6780408389294276E-2</v>
      </c>
      <c r="T79" s="18" t="str">
        <f t="shared" si="52"/>
        <v>1+0.000453057302340237i</v>
      </c>
      <c r="U79" s="18">
        <f t="shared" si="65"/>
        <v>1.0000001026304544</v>
      </c>
      <c r="V79" s="18">
        <f t="shared" si="66"/>
        <v>4.5305727134192135E-4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23.0849084886541-2.25234772016543i</v>
      </c>
      <c r="AD79" s="66">
        <f t="shared" si="72"/>
        <v>27.30771030831108</v>
      </c>
      <c r="AE79" s="63">
        <f t="shared" si="73"/>
        <v>-5.5725949250021243</v>
      </c>
      <c r="AF79" s="51" t="e">
        <f t="shared" si="74"/>
        <v>#NUM!</v>
      </c>
      <c r="AG79" s="51" t="str">
        <f t="shared" si="55"/>
        <v>1-0.135917190702071i</v>
      </c>
      <c r="AH79" s="51">
        <f t="shared" si="75"/>
        <v>1.0091944722046109</v>
      </c>
      <c r="AI79" s="51">
        <f t="shared" si="76"/>
        <v>-0.13508939227821901</v>
      </c>
      <c r="AJ79" s="51" t="str">
        <f t="shared" si="56"/>
        <v>1+0.000453057302340237i</v>
      </c>
      <c r="AK79" s="51">
        <f t="shared" si="77"/>
        <v>1.0000001026304544</v>
      </c>
      <c r="AL79" s="51">
        <f t="shared" si="78"/>
        <v>4.5305727134192135E-4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24.4339603500171+406.713801192062i</v>
      </c>
      <c r="BG79" s="66">
        <f t="shared" si="94"/>
        <v>52.201424495735232</v>
      </c>
      <c r="BH79" s="63">
        <f t="shared" si="95"/>
        <v>86.56199963199991</v>
      </c>
      <c r="BI79" s="60" t="e">
        <f t="shared" si="101"/>
        <v>#NUM!</v>
      </c>
      <c r="BJ79" s="66" t="e">
        <f t="shared" si="97"/>
        <v>#NUM!</v>
      </c>
      <c r="BK79" s="63" t="e">
        <f t="shared" si="102"/>
        <v>#NUM!</v>
      </c>
      <c r="BL79" s="51">
        <f t="shared" si="99"/>
        <v>52.201424495735232</v>
      </c>
      <c r="BM79" s="63">
        <f t="shared" si="100"/>
        <v>86.56199963199991</v>
      </c>
    </row>
    <row r="80" spans="1:65" x14ac:dyDescent="0.3">
      <c r="N80" s="11">
        <v>62</v>
      </c>
      <c r="O80" s="52">
        <f t="shared" si="62"/>
        <v>41.686938347033561</v>
      </c>
      <c r="P80" s="50" t="str">
        <f t="shared" si="50"/>
        <v>23.3035714285714</v>
      </c>
      <c r="Q80" s="18" t="str">
        <f t="shared" si="51"/>
        <v>1+0.0993450776970831i</v>
      </c>
      <c r="R80" s="18">
        <f t="shared" si="63"/>
        <v>1.0049226062053931</v>
      </c>
      <c r="S80" s="18">
        <f t="shared" si="64"/>
        <v>9.9020172608482102E-2</v>
      </c>
      <c r="T80" s="18" t="str">
        <f t="shared" si="52"/>
        <v>1+0.000463610362586388i</v>
      </c>
      <c r="U80" s="18">
        <f t="shared" si="65"/>
        <v>1.0000001074672784</v>
      </c>
      <c r="V80" s="18">
        <f t="shared" si="66"/>
        <v>4.6361032937109457E-4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23.074703935053-2.30379786610731i</v>
      </c>
      <c r="AD80" s="66">
        <f t="shared" si="72"/>
        <v>27.305799718819145</v>
      </c>
      <c r="AE80" s="63">
        <f t="shared" si="73"/>
        <v>-5.7015641925354332</v>
      </c>
      <c r="AF80" s="51" t="e">
        <f t="shared" si="74"/>
        <v>#NUM!</v>
      </c>
      <c r="AG80" s="51" t="str">
        <f t="shared" si="55"/>
        <v>1-0.139083108775917i</v>
      </c>
      <c r="AH80" s="51">
        <f t="shared" si="75"/>
        <v>1.0096257282512038</v>
      </c>
      <c r="AI80" s="51">
        <f t="shared" si="76"/>
        <v>-0.13819656287733117</v>
      </c>
      <c r="AJ80" s="51" t="str">
        <f t="shared" si="56"/>
        <v>1+0.000463610362586388i</v>
      </c>
      <c r="AK80" s="51">
        <f t="shared" si="77"/>
        <v>1.0000001074672784</v>
      </c>
      <c r="AL80" s="51">
        <f t="shared" si="78"/>
        <v>4.6361032937109457E-4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24.4233930240385+397.349457718619i</v>
      </c>
      <c r="BG80" s="66">
        <f t="shared" si="94"/>
        <v>51.999829402774608</v>
      </c>
      <c r="BH80" s="63">
        <f t="shared" si="95"/>
        <v>86.482695466810171</v>
      </c>
      <c r="BI80" s="60" t="e">
        <f t="shared" si="101"/>
        <v>#NUM!</v>
      </c>
      <c r="BJ80" s="66" t="e">
        <f t="shared" si="97"/>
        <v>#NUM!</v>
      </c>
      <c r="BK80" s="63" t="e">
        <f t="shared" si="102"/>
        <v>#NUM!</v>
      </c>
      <c r="BL80" s="51">
        <f t="shared" si="99"/>
        <v>51.999829402774608</v>
      </c>
      <c r="BM80" s="63">
        <f t="shared" si="100"/>
        <v>86.482695466810171</v>
      </c>
    </row>
    <row r="81" spans="14:65" x14ac:dyDescent="0.3">
      <c r="N81" s="11">
        <v>63</v>
      </c>
      <c r="O81" s="52">
        <f t="shared" si="62"/>
        <v>42.657951880159267</v>
      </c>
      <c r="P81" s="50" t="str">
        <f t="shared" si="50"/>
        <v>23.3035714285714</v>
      </c>
      <c r="Q81" s="18" t="str">
        <f t="shared" si="51"/>
        <v>1+0.101659121825012i</v>
      </c>
      <c r="R81" s="18">
        <f t="shared" si="63"/>
        <v>1.0051540066329301</v>
      </c>
      <c r="S81" s="18">
        <f t="shared" si="64"/>
        <v>0.10131107609024143</v>
      </c>
      <c r="T81" s="18" t="str">
        <f t="shared" si="52"/>
        <v>1+0.00047440923518339i</v>
      </c>
      <c r="U81" s="18">
        <f t="shared" si="65"/>
        <v>1.0000001125320548</v>
      </c>
      <c r="V81" s="18">
        <f t="shared" si="66"/>
        <v>4.7440919959256206E-4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23.0640280729017-2.35637491330457i</v>
      </c>
      <c r="AD81" s="66">
        <f t="shared" si="72"/>
        <v>27.303799986586629</v>
      </c>
      <c r="AE81" s="63">
        <f t="shared" si="73"/>
        <v>-5.8334784368580284</v>
      </c>
      <c r="AF81" s="51" t="e">
        <f t="shared" si="74"/>
        <v>#NUM!</v>
      </c>
      <c r="AG81" s="51" t="str">
        <f t="shared" si="55"/>
        <v>1-0.142322770555017i</v>
      </c>
      <c r="AH81" s="51">
        <f t="shared" si="75"/>
        <v>1.0100771114219231</v>
      </c>
      <c r="AI81" s="51">
        <f t="shared" si="76"/>
        <v>-0.14137333061505741</v>
      </c>
      <c r="AJ81" s="51" t="str">
        <f t="shared" si="56"/>
        <v>1+0.00047440923518339i</v>
      </c>
      <c r="AK81" s="51">
        <f t="shared" si="77"/>
        <v>1.0000001125320548</v>
      </c>
      <c r="AL81" s="51">
        <f t="shared" si="78"/>
        <v>4.7440919959256206E-4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24.4123376343926+388.195892152483i</v>
      </c>
      <c r="BG81" s="66">
        <f t="shared" si="94"/>
        <v>51.798160011266809</v>
      </c>
      <c r="BH81" s="63">
        <f t="shared" si="95"/>
        <v>86.401599174522943</v>
      </c>
      <c r="BI81" s="60" t="e">
        <f t="shared" si="101"/>
        <v>#NUM!</v>
      </c>
      <c r="BJ81" s="66" t="e">
        <f t="shared" si="97"/>
        <v>#NUM!</v>
      </c>
      <c r="BK81" s="63" t="e">
        <f t="shared" si="102"/>
        <v>#NUM!</v>
      </c>
      <c r="BL81" s="51">
        <f t="shared" si="99"/>
        <v>51.798160011266809</v>
      </c>
      <c r="BM81" s="63">
        <f t="shared" si="100"/>
        <v>86.401599174522943</v>
      </c>
    </row>
    <row r="82" spans="14:65" x14ac:dyDescent="0.3">
      <c r="N82" s="11">
        <v>64</v>
      </c>
      <c r="O82" s="52">
        <f t="shared" si="62"/>
        <v>43.651583224016633</v>
      </c>
      <c r="P82" s="50" t="str">
        <f t="shared" si="50"/>
        <v>23.3035714285714</v>
      </c>
      <c r="Q82" s="18" t="str">
        <f t="shared" si="51"/>
        <v>1+0.10402706696495i</v>
      </c>
      <c r="R82" s="18">
        <f t="shared" si="63"/>
        <v>1.0053962555437186</v>
      </c>
      <c r="S82" s="18">
        <f t="shared" si="64"/>
        <v>0.10365423726352205</v>
      </c>
      <c r="T82" s="18" t="str">
        <f t="shared" si="52"/>
        <v>1+0.000485459645836435i</v>
      </c>
      <c r="U82" s="18">
        <f t="shared" si="65"/>
        <v>1.0000001178355269</v>
      </c>
      <c r="V82" s="18">
        <f t="shared" si="66"/>
        <v>4.8545960770017603E-4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23.0528596033994-2.41010011290663i</v>
      </c>
      <c r="AD82" s="66">
        <f t="shared" si="72"/>
        <v>27.301706996421107</v>
      </c>
      <c r="AE82" s="63">
        <f t="shared" si="73"/>
        <v>-5.968402086593172</v>
      </c>
      <c r="AF82" s="51" t="e">
        <f t="shared" si="74"/>
        <v>#NUM!</v>
      </c>
      <c r="AG82" s="51" t="str">
        <f t="shared" si="55"/>
        <v>1-0.145637893750931i</v>
      </c>
      <c r="AH82" s="51">
        <f t="shared" si="75"/>
        <v>1.0105495515293683</v>
      </c>
      <c r="AI82" s="51">
        <f t="shared" si="76"/>
        <v>-0.14462112324552071</v>
      </c>
      <c r="AJ82" s="51" t="str">
        <f t="shared" si="56"/>
        <v>1+0.000485459645836435i</v>
      </c>
      <c r="AK82" s="51">
        <f t="shared" si="77"/>
        <v>1.0000001178355269</v>
      </c>
      <c r="AL82" s="51">
        <f t="shared" si="78"/>
        <v>4.8545960770017603E-4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24.4007721250949+379.248258013422i</v>
      </c>
      <c r="BG82" s="66">
        <f t="shared" si="94"/>
        <v>51.596412903225755</v>
      </c>
      <c r="BH82" s="63">
        <f t="shared" si="95"/>
        <v>86.318672894471405</v>
      </c>
      <c r="BI82" s="60" t="e">
        <f t="shared" si="101"/>
        <v>#NUM!</v>
      </c>
      <c r="BJ82" s="66" t="e">
        <f t="shared" si="97"/>
        <v>#NUM!</v>
      </c>
      <c r="BK82" s="63" t="e">
        <f t="shared" si="102"/>
        <v>#NUM!</v>
      </c>
      <c r="BL82" s="51">
        <f t="shared" si="99"/>
        <v>51.596412903225755</v>
      </c>
      <c r="BM82" s="63">
        <f t="shared" si="100"/>
        <v>86.318672894471405</v>
      </c>
    </row>
    <row r="83" spans="14:65" x14ac:dyDescent="0.3">
      <c r="N83" s="11">
        <v>65</v>
      </c>
      <c r="O83" s="52">
        <f t="shared" si="62"/>
        <v>44.668359215096324</v>
      </c>
      <c r="P83" s="50" t="str">
        <f t="shared" ref="P83:P146" si="103">COMPLEX(Adc,0)</f>
        <v>23.3035714285714</v>
      </c>
      <c r="Q83" s="18" t="str">
        <f t="shared" ref="Q83:Q146" si="104">IMSUM(COMPLEX(1,0),IMDIV(COMPLEX(0,2*PI()*O83),COMPLEX(wp_lf,0)))</f>
        <v>1+0.106450168632754i</v>
      </c>
      <c r="R83" s="18">
        <f t="shared" si="63"/>
        <v>1.0056498587490288</v>
      </c>
      <c r="S83" s="18">
        <f t="shared" si="64"/>
        <v>0.10605079552787704</v>
      </c>
      <c r="T83" s="18" t="str">
        <f t="shared" ref="T83:T146" si="105">IMSUM(COMPLEX(1,0),IMDIV(COMPLEX(0,2*PI()*O83),COMPLEX(wz_esr,0)))</f>
        <v>1+0.00049676745361952i</v>
      </c>
      <c r="U83" s="18">
        <f t="shared" si="65"/>
        <v>1.000000123388944</v>
      </c>
      <c r="V83" s="18">
        <f t="shared" si="66"/>
        <v>4.9676741275578263E-4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23.0411763099496-2.46499486773951i</v>
      </c>
      <c r="AD83" s="66">
        <f t="shared" si="72"/>
        <v>27.29951644734868</v>
      </c>
      <c r="AE83" s="63">
        <f t="shared" si="73"/>
        <v>-6.1064007799820974</v>
      </c>
      <c r="AF83" s="51" t="e">
        <f t="shared" si="74"/>
        <v>#NUM!</v>
      </c>
      <c r="AG83" s="51" t="str">
        <f t="shared" ref="AG83:AG146" si="108">IMSUM(COMPLEX(1,0),IMDIV(COMPLEX(0,2*PI()*O83),COMPLEX(wp_lf_DCM,0)))</f>
        <v>1-0.149030236085856i</v>
      </c>
      <c r="AH83" s="51">
        <f t="shared" si="75"/>
        <v>1.0110440204401616</v>
      </c>
      <c r="AI83" s="51">
        <f t="shared" si="76"/>
        <v>-0.147941388582565</v>
      </c>
      <c r="AJ83" s="51" t="str">
        <f t="shared" ref="AJ83:AJ146" si="109">IMSUM(COMPLEX(1,0),IMDIV(COMPLEX(0,2*PI()*O83),COMPLEX(wz1_dcm,0)))</f>
        <v>1+0.00049676745361952i</v>
      </c>
      <c r="AK83" s="51">
        <f t="shared" si="77"/>
        <v>1.000000123388944</v>
      </c>
      <c r="AL83" s="51">
        <f t="shared" si="78"/>
        <v>4.9676741275578263E-4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24.3886734897357+370.501818482119i</v>
      </c>
      <c r="BG83" s="66">
        <f t="shared" si="94"/>
        <v>51.394584507513528</v>
      </c>
      <c r="BH83" s="63">
        <f t="shared" si="95"/>
        <v>86.233878154888657</v>
      </c>
      <c r="BI83" s="60" t="e">
        <f t="shared" si="101"/>
        <v>#NUM!</v>
      </c>
      <c r="BJ83" s="66" t="e">
        <f t="shared" si="97"/>
        <v>#NUM!</v>
      </c>
      <c r="BK83" s="63" t="e">
        <f t="shared" si="102"/>
        <v>#NUM!</v>
      </c>
      <c r="BL83" s="51">
        <f t="shared" si="99"/>
        <v>51.394584507513528</v>
      </c>
      <c r="BM83" s="63">
        <f t="shared" si="100"/>
        <v>86.233878154888657</v>
      </c>
    </row>
    <row r="84" spans="14:65" x14ac:dyDescent="0.3">
      <c r="N84" s="11">
        <v>66</v>
      </c>
      <c r="O84" s="52">
        <f t="shared" ref="O84:O118" si="115">10^(1+(N84/100))</f>
        <v>45.70881896148753</v>
      </c>
      <c r="P84" s="50" t="str">
        <f t="shared" si="103"/>
        <v>23.3035714285714</v>
      </c>
      <c r="Q84" s="18" t="str">
        <f t="shared" si="104"/>
        <v>1+0.108929711589002i</v>
      </c>
      <c r="R84" s="18">
        <f t="shared" ref="R84:R147" si="116">IMABS(Q84)</f>
        <v>1.0059153453779612</v>
      </c>
      <c r="S84" s="18">
        <f t="shared" ref="S84:S147" si="117">IMARGUMENT(Q84)</f>
        <v>0.10850191139322682</v>
      </c>
      <c r="T84" s="18" t="str">
        <f t="shared" si="105"/>
        <v>1+0.00050833865408201i</v>
      </c>
      <c r="U84" s="18">
        <f t="shared" ref="U84:U147" si="118">IMABS(T84)</f>
        <v>1.0000001292040852</v>
      </c>
      <c r="V84" s="18">
        <f t="shared" ref="V84:V147" si="119">IMARGUMENT(T84)</f>
        <v>5.0833861029572682E-4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23.0289550228924-2.52108071296117i</v>
      </c>
      <c r="AD84" s="66">
        <f t="shared" ref="AD84:AD147" si="125">20*LOG(IMABS(AC84))</f>
        <v>27.297223844626227</v>
      </c>
      <c r="AE84" s="63">
        <f t="shared" ref="AE84:AE147" si="126">(180/PI())*IMARGUMENT(AC84)</f>
        <v>-6.2475413730808009</v>
      </c>
      <c r="AF84" s="51" t="e">
        <f t="shared" ref="AF84:AF147" si="127">COMPLEX($B$68,0)</f>
        <v>#NUM!</v>
      </c>
      <c r="AG84" s="51" t="str">
        <f t="shared" si="108"/>
        <v>1-0.152501596224603i</v>
      </c>
      <c r="AH84" s="51">
        <f t="shared" ref="AH84:AH147" si="128">IMABS(AG84)</f>
        <v>1.0115615338925517</v>
      </c>
      <c r="AI84" s="51">
        <f t="shared" ref="AI84:AI147" si="129">IMARGUMENT(AG84)</f>
        <v>-0.15133559409760783</v>
      </c>
      <c r="AJ84" s="51" t="str">
        <f t="shared" si="109"/>
        <v>1+0.00050833865408201i</v>
      </c>
      <c r="AK84" s="51">
        <f t="shared" ref="AK84:AK147" si="130">IMABS(AJ84)</f>
        <v>1.0000001292040852</v>
      </c>
      <c r="AL84" s="51">
        <f t="shared" ref="AL84:AL147" si="131">IMARGUMENT(AJ84)</f>
        <v>5.0833861029572682E-4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24.3760177349598+361.951943920409i</v>
      </c>
      <c r="BG84" s="66">
        <f t="shared" ref="BG84:BG147" si="147">20*LOG(IMABS(BF84))</f>
        <v>51.192671093367935</v>
      </c>
      <c r="BH84" s="63">
        <f t="shared" ref="BH84:BH147" si="148">(180/PI())*IMARGUMENT(BF84)</f>
        <v>86.147175877207999</v>
      </c>
      <c r="BI84" s="60" t="e">
        <f t="shared" si="101"/>
        <v>#NUM!</v>
      </c>
      <c r="BJ84" s="66" t="e">
        <f t="shared" ref="BJ84:BJ147" si="149">20*LOG(IMABS(BI84))</f>
        <v>#NUM!</v>
      </c>
      <c r="BK84" s="63" t="e">
        <f t="shared" si="102"/>
        <v>#NUM!</v>
      </c>
      <c r="BL84" s="51">
        <f t="shared" ref="BL84:BL147" si="150">IF($B$31=0,BJ84,BG84)</f>
        <v>51.192671093367935</v>
      </c>
      <c r="BM84" s="63">
        <f t="shared" ref="BM84:BM147" si="151">IF($B$31=0,BK84,BH84)</f>
        <v>86.147175877207999</v>
      </c>
    </row>
    <row r="85" spans="14:65" x14ac:dyDescent="0.3">
      <c r="N85" s="11">
        <v>67</v>
      </c>
      <c r="O85" s="52">
        <f t="shared" si="115"/>
        <v>46.773514128719818</v>
      </c>
      <c r="P85" s="50" t="str">
        <f t="shared" si="103"/>
        <v>23.3035714285714</v>
      </c>
      <c r="Q85" s="18" t="str">
        <f t="shared" si="104"/>
        <v>1+0.111467010520189i</v>
      </c>
      <c r="R85" s="18">
        <f t="shared" si="116"/>
        <v>1.006193268927152</v>
      </c>
      <c r="S85" s="18">
        <f t="shared" si="117"/>
        <v>0.11100876659968185</v>
      </c>
      <c r="T85" s="18" t="str">
        <f t="shared" si="105"/>
        <v>1+0.000520179382427551i</v>
      </c>
      <c r="U85" s="18">
        <f t="shared" si="118"/>
        <v>1.0000001352932857</v>
      </c>
      <c r="V85" s="18">
        <f t="shared" si="119"/>
        <v>5.2017933550970352E-4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23.016171583301-2.57837929482657i</v>
      </c>
      <c r="AD85" s="66">
        <f t="shared" si="125"/>
        <v>27.294824491448555</v>
      </c>
      <c r="AE85" s="63">
        <f t="shared" si="126"/>
        <v>-6.3918919468178315</v>
      </c>
      <c r="AF85" s="51" t="e">
        <f t="shared" si="127"/>
        <v>#NUM!</v>
      </c>
      <c r="AG85" s="51" t="str">
        <f t="shared" si="108"/>
        <v>1-0.156053814728265i</v>
      </c>
      <c r="AH85" s="51">
        <f t="shared" si="128"/>
        <v>1.0121031533846951</v>
      </c>
      <c r="AI85" s="51">
        <f t="shared" si="129"/>
        <v>-0.15480522645453887</v>
      </c>
      <c r="AJ85" s="51" t="str">
        <f t="shared" si="109"/>
        <v>1+0.000520179382427551i</v>
      </c>
      <c r="AK85" s="51">
        <f t="shared" si="130"/>
        <v>1.0000001352932857</v>
      </c>
      <c r="AL85" s="51">
        <f t="shared" si="131"/>
        <v>5.2017933550970352E-4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24.3627798429743+353.594109450415i</v>
      </c>
      <c r="BG85" s="66">
        <f t="shared" si="147"/>
        <v>50.990668763695204</v>
      </c>
      <c r="BH85" s="63">
        <f t="shared" si="148"/>
        <v>86.058526381691152</v>
      </c>
      <c r="BI85" s="60" t="e">
        <f t="shared" si="101"/>
        <v>#NUM!</v>
      </c>
      <c r="BJ85" s="66" t="e">
        <f t="shared" si="149"/>
        <v>#NUM!</v>
      </c>
      <c r="BK85" s="63" t="e">
        <f t="shared" si="102"/>
        <v>#NUM!</v>
      </c>
      <c r="BL85" s="51">
        <f t="shared" si="150"/>
        <v>50.990668763695204</v>
      </c>
      <c r="BM85" s="63">
        <f t="shared" si="151"/>
        <v>86.058526381691152</v>
      </c>
    </row>
    <row r="86" spans="14:65" x14ac:dyDescent="0.3">
      <c r="N86" s="11">
        <v>68</v>
      </c>
      <c r="O86" s="52">
        <f t="shared" si="115"/>
        <v>47.863009232263877</v>
      </c>
      <c r="P86" s="50" t="str">
        <f t="shared" si="103"/>
        <v>23.3035714285714</v>
      </c>
      <c r="Q86" s="18" t="str">
        <f t="shared" si="104"/>
        <v>1+0.114063410735795i</v>
      </c>
      <c r="R86" s="18">
        <f t="shared" si="116"/>
        <v>1.0064842083553436</v>
      </c>
      <c r="S86" s="18">
        <f t="shared" si="117"/>
        <v>0.11357256421551164</v>
      </c>
      <c r="T86" s="18" t="str">
        <f t="shared" si="105"/>
        <v>1+0.000532295916767043i</v>
      </c>
      <c r="U86" s="18">
        <f t="shared" si="118"/>
        <v>1.0000001416694615</v>
      </c>
      <c r="V86" s="18">
        <f t="shared" si="119"/>
        <v>5.3229586649366416E-4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23.0028008058614-2.63691234743889i</v>
      </c>
      <c r="AD86" s="66">
        <f t="shared" si="125"/>
        <v>27.292313480342326</v>
      </c>
      <c r="AE86" s="63">
        <f t="shared" si="126"/>
        <v>-6.5395218128050541</v>
      </c>
      <c r="AF86" s="51" t="e">
        <f t="shared" si="127"/>
        <v>#NUM!</v>
      </c>
      <c r="AG86" s="51" t="str">
        <f t="shared" si="108"/>
        <v>1-0.159688775030113i</v>
      </c>
      <c r="AH86" s="51">
        <f t="shared" si="128"/>
        <v>1.0126699881356305</v>
      </c>
      <c r="AI86" s="51">
        <f t="shared" si="129"/>
        <v>-0.15835179097736884</v>
      </c>
      <c r="AJ86" s="51" t="str">
        <f t="shared" si="109"/>
        <v>1+0.000532295916767043i</v>
      </c>
      <c r="AK86" s="51">
        <f t="shared" si="130"/>
        <v>1.0000001416694615</v>
      </c>
      <c r="AL86" s="51">
        <f t="shared" si="131"/>
        <v>5.3229586649366416E-4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24.3489337331106+345.42389259134i</v>
      </c>
      <c r="BG86" s="66">
        <f t="shared" si="147"/>
        <v>50.788573448121134</v>
      </c>
      <c r="BH86" s="63">
        <f t="shared" si="148"/>
        <v>85.967889394489646</v>
      </c>
      <c r="BI86" s="60" t="e">
        <f t="shared" si="101"/>
        <v>#NUM!</v>
      </c>
      <c r="BJ86" s="66" t="e">
        <f t="shared" si="149"/>
        <v>#NUM!</v>
      </c>
      <c r="BK86" s="63" t="e">
        <f t="shared" si="102"/>
        <v>#NUM!</v>
      </c>
      <c r="BL86" s="51">
        <f t="shared" si="150"/>
        <v>50.788573448121134</v>
      </c>
      <c r="BM86" s="63">
        <f t="shared" si="151"/>
        <v>85.967889394489646</v>
      </c>
    </row>
    <row r="87" spans="14:65" x14ac:dyDescent="0.3">
      <c r="N87" s="11">
        <v>69</v>
      </c>
      <c r="O87" s="52">
        <f t="shared" si="115"/>
        <v>48.977881936844632</v>
      </c>
      <c r="P87" s="50" t="str">
        <f t="shared" si="103"/>
        <v>23.3035714285714</v>
      </c>
      <c r="Q87" s="18" t="str">
        <f t="shared" si="104"/>
        <v>1+0.11672028888158i</v>
      </c>
      <c r="R87" s="18">
        <f t="shared" si="116"/>
        <v>1.0067887692245079</v>
      </c>
      <c r="S87" s="18">
        <f t="shared" si="117"/>
        <v>0.11619452871120105</v>
      </c>
      <c r="T87" s="18" t="str">
        <f t="shared" si="105"/>
        <v>1+0.000544694681447376i</v>
      </c>
      <c r="U87" s="18">
        <f t="shared" si="118"/>
        <v>1.0000001483461369</v>
      </c>
      <c r="V87" s="18">
        <f t="shared" si="119"/>
        <v>5.4469462757848037E-4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22.988816440863-2.69670166735609i</v>
      </c>
      <c r="AD87" s="66">
        <f t="shared" si="125"/>
        <v>27.28968568423976</v>
      </c>
      <c r="AE87" s="63">
        <f t="shared" si="126"/>
        <v>-6.6905015177826259</v>
      </c>
      <c r="AF87" s="51" t="e">
        <f t="shared" si="127"/>
        <v>#NUM!</v>
      </c>
      <c r="AG87" s="51" t="str">
        <f t="shared" si="108"/>
        <v>1-0.163408404434213i</v>
      </c>
      <c r="AH87" s="51">
        <f t="shared" si="128"/>
        <v>1.0132631971209334</v>
      </c>
      <c r="AI87" s="51">
        <f t="shared" si="129"/>
        <v>-0.16197681104607997</v>
      </c>
      <c r="AJ87" s="51" t="str">
        <f t="shared" si="109"/>
        <v>1+0.000544694681447376i</v>
      </c>
      <c r="AK87" s="51">
        <f t="shared" si="130"/>
        <v>1.0000001483461369</v>
      </c>
      <c r="AL87" s="51">
        <f t="shared" si="131"/>
        <v>5.4469462757848037E-4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24.3344522224615+337.436970952869i</v>
      </c>
      <c r="BG87" s="66">
        <f t="shared" si="147"/>
        <v>50.586380895798165</v>
      </c>
      <c r="BH87" s="63">
        <f t="shared" si="148"/>
        <v>85.875224056255021</v>
      </c>
      <c r="BI87" s="60" t="e">
        <f t="shared" si="101"/>
        <v>#NUM!</v>
      </c>
      <c r="BJ87" s="66" t="e">
        <f t="shared" si="149"/>
        <v>#NUM!</v>
      </c>
      <c r="BK87" s="63" t="e">
        <f t="shared" si="102"/>
        <v>#NUM!</v>
      </c>
      <c r="BL87" s="51">
        <f t="shared" si="150"/>
        <v>50.586380895798165</v>
      </c>
      <c r="BM87" s="63">
        <f t="shared" si="151"/>
        <v>85.875224056255021</v>
      </c>
    </row>
    <row r="88" spans="14:65" x14ac:dyDescent="0.3">
      <c r="N88" s="11">
        <v>70</v>
      </c>
      <c r="O88" s="52">
        <f t="shared" si="115"/>
        <v>50.118723362727238</v>
      </c>
      <c r="P88" s="50" t="str">
        <f t="shared" si="103"/>
        <v>23.3035714285714</v>
      </c>
      <c r="Q88" s="18" t="str">
        <f t="shared" si="104"/>
        <v>1+0.119439053669506i</v>
      </c>
      <c r="R88" s="18">
        <f t="shared" si="116"/>
        <v>1.0071075848892546</v>
      </c>
      <c r="S88" s="18">
        <f t="shared" si="117"/>
        <v>0.11887590600744083</v>
      </c>
      <c r="T88" s="18" t="str">
        <f t="shared" si="105"/>
        <v>1+0.000557382250457697i</v>
      </c>
      <c r="U88" s="18">
        <f t="shared" si="118"/>
        <v>1.0000001553374744</v>
      </c>
      <c r="V88" s="18">
        <f t="shared" si="119"/>
        <v>5.573821927361359E-4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22.9741911353285-2.75776908591651i</v>
      </c>
      <c r="AD88" s="66">
        <f t="shared" si="125"/>
        <v>27.286935747223083</v>
      </c>
      <c r="AE88" s="63">
        <f t="shared" si="126"/>
        <v>-6.8449028465753425</v>
      </c>
      <c r="AF88" s="51" t="e">
        <f t="shared" si="127"/>
        <v>#NUM!</v>
      </c>
      <c r="AG88" s="51" t="str">
        <f t="shared" si="108"/>
        <v>1-0.167214675137309i</v>
      </c>
      <c r="AH88" s="51">
        <f t="shared" si="128"/>
        <v>1.013883991185025</v>
      </c>
      <c r="AI88" s="51">
        <f t="shared" si="129"/>
        <v>-0.16568182741596665</v>
      </c>
      <c r="AJ88" s="51" t="str">
        <f t="shared" si="109"/>
        <v>1+0.000557382250457697i</v>
      </c>
      <c r="AK88" s="51">
        <f t="shared" si="130"/>
        <v>1.0000001553374744</v>
      </c>
      <c r="AL88" s="51">
        <f t="shared" si="131"/>
        <v>5.573821927361359E-4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24.31930698563+329.629119983965i</v>
      </c>
      <c r="BG88" s="66">
        <f t="shared" si="147"/>
        <v>50.384086667961384</v>
      </c>
      <c r="BH88" s="63">
        <f t="shared" si="148"/>
        <v>85.780488932416688</v>
      </c>
      <c r="BI88" s="60" t="e">
        <f t="shared" si="101"/>
        <v>#NUM!</v>
      </c>
      <c r="BJ88" s="66" t="e">
        <f t="shared" si="149"/>
        <v>#NUM!</v>
      </c>
      <c r="BK88" s="63" t="e">
        <f t="shared" si="102"/>
        <v>#NUM!</v>
      </c>
      <c r="BL88" s="51">
        <f t="shared" si="150"/>
        <v>50.384086667961384</v>
      </c>
      <c r="BM88" s="63">
        <f t="shared" si="151"/>
        <v>85.780488932416688</v>
      </c>
    </row>
    <row r="89" spans="14:65" x14ac:dyDescent="0.3">
      <c r="N89" s="11">
        <v>71</v>
      </c>
      <c r="O89" s="52">
        <f t="shared" si="115"/>
        <v>51.28613839913649</v>
      </c>
      <c r="P89" s="50" t="str">
        <f t="shared" si="103"/>
        <v>23.3035714285714</v>
      </c>
      <c r="Q89" s="18" t="str">
        <f t="shared" si="104"/>
        <v>1+0.122221146624651i</v>
      </c>
      <c r="R89" s="18">
        <f t="shared" si="116"/>
        <v>1.007441317736296</v>
      </c>
      <c r="S89" s="18">
        <f t="shared" si="117"/>
        <v>0.12161796349471778</v>
      </c>
      <c r="T89" s="18" t="str">
        <f t="shared" si="105"/>
        <v>1+0.000570365350915037i</v>
      </c>
      <c r="U89" s="18">
        <f t="shared" si="118"/>
        <v>1.0000001626583035</v>
      </c>
      <c r="V89" s="18">
        <f t="shared" si="119"/>
        <v>5.703652890652705E-4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22.9588963933282-2.82013643914071i</v>
      </c>
      <c r="AD89" s="66">
        <f t="shared" si="125"/>
        <v>27.284058074934361</v>
      </c>
      <c r="AE89" s="63">
        <f t="shared" si="126"/>
        <v>-7.0027988234264535</v>
      </c>
      <c r="AF89" s="51" t="e">
        <f t="shared" si="127"/>
        <v>#NUM!</v>
      </c>
      <c r="AG89" s="51" t="str">
        <f t="shared" si="108"/>
        <v>1-0.171109605274511i</v>
      </c>
      <c r="AH89" s="51">
        <f t="shared" si="128"/>
        <v>1.01453363523207</v>
      </c>
      <c r="AI89" s="51">
        <f t="shared" si="129"/>
        <v>-0.16946839745553702</v>
      </c>
      <c r="AJ89" s="51" t="str">
        <f t="shared" si="109"/>
        <v>1+0.000570365350915037i</v>
      </c>
      <c r="AK89" s="51">
        <f t="shared" si="130"/>
        <v>1.0000001626583035</v>
      </c>
      <c r="AL89" s="51">
        <f t="shared" si="131"/>
        <v>5.703652890652705E-4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24.3034685136341+321.996210776153i</v>
      </c>
      <c r="BG89" s="66">
        <f t="shared" si="147"/>
        <v>50.181686130233416</v>
      </c>
      <c r="BH89" s="63">
        <f t="shared" si="148"/>
        <v>85.683642025256319</v>
      </c>
      <c r="BI89" s="60" t="e">
        <f t="shared" si="101"/>
        <v>#NUM!</v>
      </c>
      <c r="BJ89" s="66" t="e">
        <f t="shared" si="149"/>
        <v>#NUM!</v>
      </c>
      <c r="BK89" s="63" t="e">
        <f t="shared" si="102"/>
        <v>#NUM!</v>
      </c>
      <c r="BL89" s="51">
        <f t="shared" si="150"/>
        <v>50.181686130233416</v>
      </c>
      <c r="BM89" s="63">
        <f t="shared" si="151"/>
        <v>85.683642025256319</v>
      </c>
    </row>
    <row r="90" spans="14:65" x14ac:dyDescent="0.3">
      <c r="N90" s="11">
        <v>72</v>
      </c>
      <c r="O90" s="52">
        <f t="shared" si="115"/>
        <v>52.480746024977286</v>
      </c>
      <c r="P90" s="50" t="str">
        <f t="shared" si="103"/>
        <v>23.3035714285714</v>
      </c>
      <c r="Q90" s="18" t="str">
        <f t="shared" si="104"/>
        <v>1+0.125068042849524i</v>
      </c>
      <c r="R90" s="18">
        <f t="shared" si="116"/>
        <v>1.0077906604757807</v>
      </c>
      <c r="S90" s="18">
        <f t="shared" si="117"/>
        <v>0.12442199002206168</v>
      </c>
      <c r="T90" s="18" t="str">
        <f t="shared" si="105"/>
        <v>1+0.000583650866631111i</v>
      </c>
      <c r="U90" s="18">
        <f t="shared" si="118"/>
        <v>1.0000001703241526</v>
      </c>
      <c r="V90" s="18">
        <f t="shared" si="119"/>
        <v>5.8365080035789271E-4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22.9429025355236-2.88382553506051i</v>
      </c>
      <c r="AD90" s="66">
        <f t="shared" si="125"/>
        <v>27.281046824642594</v>
      </c>
      <c r="AE90" s="63">
        <f t="shared" si="126"/>
        <v>-7.1642637115693155</v>
      </c>
      <c r="AF90" s="51" t="e">
        <f t="shared" si="127"/>
        <v>#NUM!</v>
      </c>
      <c r="AG90" s="51" t="str">
        <f t="shared" si="108"/>
        <v>1-0.175095259989334i</v>
      </c>
      <c r="AH90" s="51">
        <f t="shared" si="128"/>
        <v>1.0152134504973487</v>
      </c>
      <c r="AI90" s="51">
        <f t="shared" si="129"/>
        <v>-0.17333809429784175</v>
      </c>
      <c r="AJ90" s="51" t="str">
        <f t="shared" si="109"/>
        <v>1+0.000583650866631111i</v>
      </c>
      <c r="AK90" s="51">
        <f t="shared" si="130"/>
        <v>1.0000001703241526</v>
      </c>
      <c r="AL90" s="51">
        <f t="shared" si="131"/>
        <v>5.8365080035789271E-4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24.2869060720076+314.534207920096i</v>
      </c>
      <c r="BG90" s="66">
        <f t="shared" si="147"/>
        <v>49.97917444467091</v>
      </c>
      <c r="BH90" s="63">
        <f t="shared" si="148"/>
        <v>85.584640787914196</v>
      </c>
      <c r="BI90" s="60" t="e">
        <f t="shared" si="101"/>
        <v>#NUM!</v>
      </c>
      <c r="BJ90" s="66" t="e">
        <f t="shared" si="149"/>
        <v>#NUM!</v>
      </c>
      <c r="BK90" s="63" t="e">
        <f t="shared" si="102"/>
        <v>#NUM!</v>
      </c>
      <c r="BL90" s="51">
        <f t="shared" si="150"/>
        <v>49.97917444467091</v>
      </c>
      <c r="BM90" s="63">
        <f t="shared" si="151"/>
        <v>85.584640787914196</v>
      </c>
    </row>
    <row r="91" spans="14:65" x14ac:dyDescent="0.3">
      <c r="N91" s="11">
        <v>73</v>
      </c>
      <c r="O91" s="52">
        <f t="shared" si="115"/>
        <v>53.703179637025293</v>
      </c>
      <c r="P91" s="50" t="str">
        <f t="shared" si="103"/>
        <v>23.3035714285714</v>
      </c>
      <c r="Q91" s="18" t="str">
        <f t="shared" si="104"/>
        <v>1+0.127981251806187i</v>
      </c>
      <c r="R91" s="18">
        <f t="shared" si="116"/>
        <v>1.0081563374863438</v>
      </c>
      <c r="S91" s="18">
        <f t="shared" si="117"/>
        <v>0.12728929585234433</v>
      </c>
      <c r="T91" s="18" t="str">
        <f t="shared" si="105"/>
        <v>1+0.000597245841762204i</v>
      </c>
      <c r="U91" s="18">
        <f t="shared" si="118"/>
        <v>1.0000001783512817</v>
      </c>
      <c r="V91" s="18">
        <f t="shared" si="119"/>
        <v>5.9724577074917189E-4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22.926178658001-2.94885811832033i</v>
      </c>
      <c r="AD91" s="66">
        <f t="shared" si="125"/>
        <v>27.277895894962811</v>
      </c>
      <c r="AE91" s="63">
        <f t="shared" si="126"/>
        <v>-7.329373010887771</v>
      </c>
      <c r="AF91" s="51" t="e">
        <f t="shared" si="127"/>
        <v>#NUM!</v>
      </c>
      <c r="AG91" s="51" t="str">
        <f t="shared" si="108"/>
        <v>1-0.179173752528662i</v>
      </c>
      <c r="AH91" s="51">
        <f t="shared" si="128"/>
        <v>1.0159248169009369</v>
      </c>
      <c r="AI91" s="51">
        <f t="shared" si="129"/>
        <v>-0.17729250589991563</v>
      </c>
      <c r="AJ91" s="51" t="str">
        <f t="shared" si="109"/>
        <v>1+0.000597245841762204i</v>
      </c>
      <c r="AK91" s="51">
        <f t="shared" si="130"/>
        <v>1.0000001783512817</v>
      </c>
      <c r="AL91" s="51">
        <f t="shared" si="131"/>
        <v>5.9724577074917189E-4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24.269587658176+307.239167414644i</v>
      </c>
      <c r="BG91" s="66">
        <f t="shared" si="147"/>
        <v>49.776546561554547</v>
      </c>
      <c r="BH91" s="63">
        <f t="shared" si="148"/>
        <v>85.483442140469222</v>
      </c>
      <c r="BI91" s="60" t="e">
        <f t="shared" si="101"/>
        <v>#NUM!</v>
      </c>
      <c r="BJ91" s="66" t="e">
        <f t="shared" si="149"/>
        <v>#NUM!</v>
      </c>
      <c r="BK91" s="63" t="e">
        <f t="shared" si="102"/>
        <v>#NUM!</v>
      </c>
      <c r="BL91" s="51">
        <f t="shared" si="150"/>
        <v>49.776546561554547</v>
      </c>
      <c r="BM91" s="63">
        <f t="shared" si="151"/>
        <v>85.483442140469222</v>
      </c>
    </row>
    <row r="92" spans="14:65" x14ac:dyDescent="0.3">
      <c r="N92" s="11">
        <v>74</v>
      </c>
      <c r="O92" s="52">
        <f t="shared" si="115"/>
        <v>54.95408738576247</v>
      </c>
      <c r="P92" s="50" t="str">
        <f t="shared" si="103"/>
        <v>23.3035714285714</v>
      </c>
      <c r="Q92" s="18" t="str">
        <f t="shared" si="104"/>
        <v>1+0.130962318116589i</v>
      </c>
      <c r="R92" s="18">
        <f t="shared" si="116"/>
        <v>1.0085391062157534</v>
      </c>
      <c r="S92" s="18">
        <f t="shared" si="117"/>
        <v>0.13022121258135971</v>
      </c>
      <c r="T92" s="18" t="str">
        <f t="shared" si="105"/>
        <v>1+0.000611157484544085i</v>
      </c>
      <c r="U92" s="18">
        <f t="shared" si="118"/>
        <v>1.0000001867567179</v>
      </c>
      <c r="V92" s="18">
        <f t="shared" si="119"/>
        <v>6.1115740845225095E-4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22.9086925904592-3.01525583188848i</v>
      </c>
      <c r="AD92" s="66">
        <f t="shared" si="125"/>
        <v>27.274598915220011</v>
      </c>
      <c r="AE92" s="63">
        <f t="shared" si="126"/>
        <v>-7.4982034535061954</v>
      </c>
      <c r="AF92" s="51" t="e">
        <f t="shared" si="127"/>
        <v>#NUM!</v>
      </c>
      <c r="AG92" s="51" t="str">
        <f t="shared" si="108"/>
        <v>1-0.183347245363226i</v>
      </c>
      <c r="AH92" s="51">
        <f t="shared" si="128"/>
        <v>1.0166691754854589</v>
      </c>
      <c r="AI92" s="51">
        <f t="shared" si="129"/>
        <v>-0.18133323400482945</v>
      </c>
      <c r="AJ92" s="51" t="str">
        <f t="shared" si="109"/>
        <v>1+0.000611157484544085i</v>
      </c>
      <c r="AK92" s="51">
        <f t="shared" si="130"/>
        <v>1.0000001867567179</v>
      </c>
      <c r="AL92" s="51">
        <f t="shared" si="131"/>
        <v>6.1115740845225095E-4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24.2514799581524+300.107234627221i</v>
      </c>
      <c r="BG92" s="66">
        <f t="shared" si="147"/>
        <v>49.573797210915849</v>
      </c>
      <c r="BH92" s="63">
        <f t="shared" si="148"/>
        <v>85.380002488245893</v>
      </c>
      <c r="BI92" s="60" t="e">
        <f t="shared" si="101"/>
        <v>#NUM!</v>
      </c>
      <c r="BJ92" s="66" t="e">
        <f t="shared" si="149"/>
        <v>#NUM!</v>
      </c>
      <c r="BK92" s="63" t="e">
        <f t="shared" si="102"/>
        <v>#NUM!</v>
      </c>
      <c r="BL92" s="51">
        <f t="shared" si="150"/>
        <v>49.573797210915849</v>
      </c>
      <c r="BM92" s="63">
        <f t="shared" si="151"/>
        <v>85.380002488245893</v>
      </c>
    </row>
    <row r="93" spans="14:65" x14ac:dyDescent="0.3">
      <c r="N93" s="11">
        <v>75</v>
      </c>
      <c r="O93" s="52">
        <f t="shared" si="115"/>
        <v>56.234132519034915</v>
      </c>
      <c r="P93" s="50" t="str">
        <f t="shared" si="103"/>
        <v>23.3035714285714</v>
      </c>
      <c r="Q93" s="18" t="str">
        <f t="shared" si="104"/>
        <v>1+0.134012822381549i</v>
      </c>
      <c r="R93" s="18">
        <f t="shared" si="116"/>
        <v>1.0089397586390718</v>
      </c>
      <c r="S93" s="18">
        <f t="shared" si="117"/>
        <v>0.13321909301777501</v>
      </c>
      <c r="T93" s="18" t="str">
        <f t="shared" si="105"/>
        <v>1+0.000625393171113895i</v>
      </c>
      <c r="U93" s="18">
        <f t="shared" si="118"/>
        <v>1.00000019555829</v>
      </c>
      <c r="V93" s="18">
        <f t="shared" si="119"/>
        <v>6.2539308958002669E-4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22.8904108538348-3.08304017571185i</v>
      </c>
      <c r="AD93" s="66">
        <f t="shared" si="125"/>
        <v>27.271149234454445</v>
      </c>
      <c r="AE93" s="63">
        <f t="shared" si="126"/>
        <v>-7.6708329971429841</v>
      </c>
      <c r="AF93" s="51" t="e">
        <f t="shared" si="127"/>
        <v>#NUM!</v>
      </c>
      <c r="AG93" s="51" t="str">
        <f t="shared" si="108"/>
        <v>1-0.187617951334169i</v>
      </c>
      <c r="AH93" s="51">
        <f t="shared" si="128"/>
        <v>1.017448030939581</v>
      </c>
      <c r="AI93" s="51">
        <f t="shared" si="129"/>
        <v>-0.18546189300063656</v>
      </c>
      <c r="AJ93" s="51" t="str">
        <f t="shared" si="109"/>
        <v>1+0.000625393171113895i</v>
      </c>
      <c r="AK93" s="51">
        <f t="shared" si="130"/>
        <v>1.00000019555829</v>
      </c>
      <c r="AL93" s="51">
        <f t="shared" si="131"/>
        <v>6.2539308958002669E-4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24.2325483026597+293.134642304779i</v>
      </c>
      <c r="BG93" s="66">
        <f t="shared" si="147"/>
        <v>49.370920893804175</v>
      </c>
      <c r="BH93" s="63">
        <f t="shared" si="148"/>
        <v>85.27427774250603</v>
      </c>
      <c r="BI93" s="60" t="e">
        <f t="shared" si="101"/>
        <v>#NUM!</v>
      </c>
      <c r="BJ93" s="66" t="e">
        <f t="shared" si="149"/>
        <v>#NUM!</v>
      </c>
      <c r="BK93" s="63" t="e">
        <f t="shared" si="102"/>
        <v>#NUM!</v>
      </c>
      <c r="BL93" s="51">
        <f t="shared" si="150"/>
        <v>49.370920893804175</v>
      </c>
      <c r="BM93" s="63">
        <f t="shared" si="151"/>
        <v>85.27427774250603</v>
      </c>
    </row>
    <row r="94" spans="14:65" x14ac:dyDescent="0.3">
      <c r="N94" s="11">
        <v>76</v>
      </c>
      <c r="O94" s="52">
        <f t="shared" si="115"/>
        <v>57.543993733715695</v>
      </c>
      <c r="P94" s="50" t="str">
        <f t="shared" si="103"/>
        <v>23.3035714285714</v>
      </c>
      <c r="Q94" s="18" t="str">
        <f t="shared" si="104"/>
        <v>1+0.137134382018804i</v>
      </c>
      <c r="R94" s="18">
        <f t="shared" si="116"/>
        <v>1.009359122776269</v>
      </c>
      <c r="S94" s="18">
        <f t="shared" si="117"/>
        <v>0.13628431102084385</v>
      </c>
      <c r="T94" s="18" t="str">
        <f t="shared" si="105"/>
        <v>1+0.000639960449421087i</v>
      </c>
      <c r="U94" s="18">
        <f t="shared" si="118"/>
        <v>1.0000002047746674</v>
      </c>
      <c r="V94" s="18">
        <f t="shared" si="119"/>
        <v>6.3996036205597403E-4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22.8712986174516-3.15223246213959i</v>
      </c>
      <c r="AD94" s="66">
        <f t="shared" si="125"/>
        <v>27.267539910062112</v>
      </c>
      <c r="AE94" s="63">
        <f t="shared" si="126"/>
        <v>-7.8473408160497682</v>
      </c>
      <c r="AF94" s="51" t="e">
        <f t="shared" si="127"/>
        <v>#NUM!</v>
      </c>
      <c r="AG94" s="51" t="str">
        <f t="shared" si="108"/>
        <v>1-0.191988134826327i</v>
      </c>
      <c r="AH94" s="51">
        <f t="shared" si="128"/>
        <v>1.0182629542088291</v>
      </c>
      <c r="AI94" s="51">
        <f t="shared" si="129"/>
        <v>-0.18968010867036753</v>
      </c>
      <c r="AJ94" s="51" t="str">
        <f t="shared" si="109"/>
        <v>1+0.000639960449421087i</v>
      </c>
      <c r="AK94" s="51">
        <f t="shared" si="130"/>
        <v>1.0000002047746674</v>
      </c>
      <c r="AL94" s="51">
        <f t="shared" si="131"/>
        <v>6.3996036205597403E-4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24.2127566227527+286.317708634275i</v>
      </c>
      <c r="BG94" s="66">
        <f t="shared" si="147"/>
        <v>49.167911873289384</v>
      </c>
      <c r="BH94" s="63">
        <f t="shared" si="148"/>
        <v>85.166223343694639</v>
      </c>
      <c r="BI94" s="60" t="e">
        <f t="shared" si="101"/>
        <v>#NUM!</v>
      </c>
      <c r="BJ94" s="66" t="e">
        <f t="shared" si="149"/>
        <v>#NUM!</v>
      </c>
      <c r="BK94" s="63" t="e">
        <f t="shared" si="102"/>
        <v>#NUM!</v>
      </c>
      <c r="BL94" s="51">
        <f t="shared" si="150"/>
        <v>49.167911873289384</v>
      </c>
      <c r="BM94" s="63">
        <f t="shared" si="151"/>
        <v>85.166223343694639</v>
      </c>
    </row>
    <row r="95" spans="14:65" x14ac:dyDescent="0.3">
      <c r="N95" s="11">
        <v>77</v>
      </c>
      <c r="O95" s="52">
        <f t="shared" si="115"/>
        <v>58.884365535558949</v>
      </c>
      <c r="P95" s="50" t="str">
        <f t="shared" si="103"/>
        <v>23.3035714285714</v>
      </c>
      <c r="Q95" s="18" t="str">
        <f t="shared" si="104"/>
        <v>1+0.140328652120594i</v>
      </c>
      <c r="R95" s="18">
        <f t="shared" si="116"/>
        <v>1.0097980642712594</v>
      </c>
      <c r="S95" s="18">
        <f t="shared" si="117"/>
        <v>0.13941826129264437</v>
      </c>
      <c r="T95" s="18" t="str">
        <f t="shared" si="105"/>
        <v>1+0.000654867043229441i</v>
      </c>
      <c r="U95" s="18">
        <f t="shared" si="118"/>
        <v>1.0000002144253992</v>
      </c>
      <c r="V95" s="18">
        <f t="shared" si="119"/>
        <v>6.54866949616037E-4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22.8513196558029-3.2228537679374i</v>
      </c>
      <c r="AD95" s="66">
        <f t="shared" si="125"/>
        <v>27.263763696068647</v>
      </c>
      <c r="AE95" s="63">
        <f t="shared" si="126"/>
        <v>-8.027807289349969</v>
      </c>
      <c r="AF95" s="51" t="e">
        <f t="shared" si="127"/>
        <v>#NUM!</v>
      </c>
      <c r="AG95" s="51" t="str">
        <f t="shared" si="108"/>
        <v>1-0.196460112968833i</v>
      </c>
      <c r="AH95" s="51">
        <f t="shared" si="128"/>
        <v>1.0191155851951861</v>
      </c>
      <c r="AI95" s="51">
        <f t="shared" si="129"/>
        <v>-0.19398951682702903</v>
      </c>
      <c r="AJ95" s="51" t="str">
        <f t="shared" si="109"/>
        <v>1+0.000654867043229441i</v>
      </c>
      <c r="AK95" s="51">
        <f t="shared" si="130"/>
        <v>1.0000002144253992</v>
      </c>
      <c r="AL95" s="51">
        <f t="shared" si="131"/>
        <v>6.54866949616037E-4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24.1920674050681+279.652835351972i</v>
      </c>
      <c r="BG95" s="66">
        <f t="shared" si="147"/>
        <v>48.964764165205835</v>
      </c>
      <c r="BH95" s="63">
        <f t="shared" si="148"/>
        <v>85.055794287416191</v>
      </c>
      <c r="BI95" s="60" t="e">
        <f t="shared" si="101"/>
        <v>#NUM!</v>
      </c>
      <c r="BJ95" s="66" t="e">
        <f t="shared" si="149"/>
        <v>#NUM!</v>
      </c>
      <c r="BK95" s="63" t="e">
        <f t="shared" si="102"/>
        <v>#NUM!</v>
      </c>
      <c r="BL95" s="51">
        <f t="shared" si="150"/>
        <v>48.964764165205835</v>
      </c>
      <c r="BM95" s="63">
        <f t="shared" si="151"/>
        <v>85.055794287416191</v>
      </c>
    </row>
    <row r="96" spans="14:65" x14ac:dyDescent="0.3">
      <c r="N96" s="11">
        <v>78</v>
      </c>
      <c r="O96" s="52">
        <f t="shared" si="115"/>
        <v>60.255958607435822</v>
      </c>
      <c r="P96" s="50" t="str">
        <f t="shared" si="103"/>
        <v>23.3035714285714</v>
      </c>
      <c r="Q96" s="18" t="str">
        <f t="shared" si="104"/>
        <v>1+0.143597326331208i</v>
      </c>
      <c r="R96" s="18">
        <f t="shared" si="116"/>
        <v>1.0102574880343484</v>
      </c>
      <c r="S96" s="18">
        <f t="shared" si="117"/>
        <v>0.14262235912136997</v>
      </c>
      <c r="T96" s="18" t="str">
        <f t="shared" si="105"/>
        <v>1+0.000670120856212304i</v>
      </c>
      <c r="U96" s="18">
        <f t="shared" si="118"/>
        <v>1.0000002245309556</v>
      </c>
      <c r="V96" s="18">
        <f t="shared" si="119"/>
        <v>6.7012075590373562E-4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22.83043630508-3.29492488270696i</v>
      </c>
      <c r="AD96" s="66">
        <f t="shared" si="125"/>
        <v>27.259813031031914</v>
      </c>
      <c r="AE96" s="63">
        <f t="shared" si="126"/>
        <v>-8.2123139865791046</v>
      </c>
      <c r="AF96" s="51" t="e">
        <f t="shared" si="127"/>
        <v>#NUM!</v>
      </c>
      <c r="AG96" s="51" t="str">
        <f t="shared" si="108"/>
        <v>1-0.201036256863692i</v>
      </c>
      <c r="AH96" s="51">
        <f t="shared" si="128"/>
        <v>1.0200076355467955</v>
      </c>
      <c r="AI96" s="51">
        <f t="shared" si="129"/>
        <v>-0.19839176182744275</v>
      </c>
      <c r="AJ96" s="51" t="str">
        <f t="shared" si="109"/>
        <v>1+0.000670120856212304i</v>
      </c>
      <c r="AK96" s="51">
        <f t="shared" si="130"/>
        <v>1.0000002245309556</v>
      </c>
      <c r="AL96" s="51">
        <f t="shared" si="131"/>
        <v>6.7012075590373562E-4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24.1704416468032+273.136505900525i</v>
      </c>
      <c r="BG96" s="66">
        <f t="shared" si="147"/>
        <v>48.761471528633599</v>
      </c>
      <c r="BH96" s="63">
        <f t="shared" si="148"/>
        <v>84.942945153328466</v>
      </c>
      <c r="BI96" s="60" t="e">
        <f t="shared" si="101"/>
        <v>#NUM!</v>
      </c>
      <c r="BJ96" s="66" t="e">
        <f t="shared" si="149"/>
        <v>#NUM!</v>
      </c>
      <c r="BK96" s="63" t="e">
        <f t="shared" si="102"/>
        <v>#NUM!</v>
      </c>
      <c r="BL96" s="51">
        <f t="shared" si="150"/>
        <v>48.761471528633599</v>
      </c>
      <c r="BM96" s="63">
        <f t="shared" si="151"/>
        <v>84.942945153328466</v>
      </c>
    </row>
    <row r="97" spans="14:65" x14ac:dyDescent="0.3">
      <c r="N97" s="11">
        <v>79</v>
      </c>
      <c r="O97" s="52">
        <f t="shared" si="115"/>
        <v>61.659500186148257</v>
      </c>
      <c r="P97" s="50" t="str">
        <f t="shared" si="103"/>
        <v>23.3035714285714</v>
      </c>
      <c r="Q97" s="18" t="str">
        <f t="shared" si="104"/>
        <v>1+0.146942137744978i</v>
      </c>
      <c r="R97" s="18">
        <f t="shared" si="116"/>
        <v>1.0107383399500902</v>
      </c>
      <c r="S97" s="18">
        <f t="shared" si="117"/>
        <v>0.14589804007206575</v>
      </c>
      <c r="T97" s="18" t="str">
        <f t="shared" si="105"/>
        <v>1+0.00068572997614323i</v>
      </c>
      <c r="U97" s="18">
        <f t="shared" si="118"/>
        <v>1.0000002351127726</v>
      </c>
      <c r="V97" s="18">
        <f t="shared" si="119"/>
        <v>6.8572986866066374E-4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22.8086094195864-3.36846625352182i</v>
      </c>
      <c r="AD97" s="66">
        <f t="shared" si="125"/>
        <v>27.25568002557381</v>
      </c>
      <c r="AE97" s="63">
        <f t="shared" si="126"/>
        <v>-8.400943650219423</v>
      </c>
      <c r="AF97" s="51" t="e">
        <f t="shared" si="127"/>
        <v>#NUM!</v>
      </c>
      <c r="AG97" s="51" t="str">
        <f t="shared" si="108"/>
        <v>1-0.205718992842969i</v>
      </c>
      <c r="AH97" s="51">
        <f t="shared" si="128"/>
        <v>1.02094089153894</v>
      </c>
      <c r="AI97" s="51">
        <f t="shared" si="129"/>
        <v>-0.20288849495861197</v>
      </c>
      <c r="AJ97" s="51" t="str">
        <f t="shared" si="109"/>
        <v>1+0.00068572997614323i</v>
      </c>
      <c r="AK97" s="51">
        <f t="shared" si="130"/>
        <v>1.0000002351127726</v>
      </c>
      <c r="AL97" s="51">
        <f t="shared" si="131"/>
        <v>6.8572986866066374E-4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24.1478388105829+266.765283633246i</v>
      </c>
      <c r="BG97" s="66">
        <f t="shared" si="147"/>
        <v>48.558027456126148</v>
      </c>
      <c r="BH97" s="63">
        <f t="shared" si="148"/>
        <v>84.827630137148901</v>
      </c>
      <c r="BI97" s="60" t="e">
        <f t="shared" si="101"/>
        <v>#NUM!</v>
      </c>
      <c r="BJ97" s="66" t="e">
        <f t="shared" si="149"/>
        <v>#NUM!</v>
      </c>
      <c r="BK97" s="63" t="e">
        <f t="shared" si="102"/>
        <v>#NUM!</v>
      </c>
      <c r="BL97" s="51">
        <f t="shared" si="150"/>
        <v>48.558027456126148</v>
      </c>
      <c r="BM97" s="63">
        <f t="shared" si="151"/>
        <v>84.827630137148901</v>
      </c>
    </row>
    <row r="98" spans="14:65" x14ac:dyDescent="0.3">
      <c r="N98" s="11">
        <v>80</v>
      </c>
      <c r="O98" s="52">
        <f t="shared" si="115"/>
        <v>63.095734448019364</v>
      </c>
      <c r="P98" s="50" t="str">
        <f t="shared" si="103"/>
        <v>23.3035714285714</v>
      </c>
      <c r="Q98" s="18" t="str">
        <f t="shared" si="104"/>
        <v>1+0.150364859825189i</v>
      </c>
      <c r="R98" s="18">
        <f t="shared" si="116"/>
        <v>1.0112416086525755</v>
      </c>
      <c r="S98" s="18">
        <f t="shared" si="117"/>
        <v>0.14924675962098846</v>
      </c>
      <c r="T98" s="18" t="str">
        <f t="shared" si="105"/>
        <v>1+0.000701702679184215i</v>
      </c>
      <c r="U98" s="18">
        <f t="shared" si="118"/>
        <v>1.0000002461932946</v>
      </c>
      <c r="V98" s="18">
        <f t="shared" si="119"/>
        <v>7.0170256401457182E-4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22.7857983281834-3.44349792558512i</v>
      </c>
      <c r="AD98" s="66">
        <f t="shared" si="125"/>
        <v>27.251356449538964</v>
      </c>
      <c r="AE98" s="63">
        <f t="shared" si="126"/>
        <v>-8.5937801750105525</v>
      </c>
      <c r="AF98" s="51" t="e">
        <f t="shared" si="127"/>
        <v>#NUM!</v>
      </c>
      <c r="AG98" s="51" t="str">
        <f t="shared" si="108"/>
        <v>1-0.210510803755265i</v>
      </c>
      <c r="AH98" s="51">
        <f t="shared" si="128"/>
        <v>1.0219172170472948</v>
      </c>
      <c r="AI98" s="51">
        <f t="shared" si="129"/>
        <v>-0.20748137269021535</v>
      </c>
      <c r="AJ98" s="51" t="str">
        <f t="shared" si="109"/>
        <v>1+0.000701702679184215i</v>
      </c>
      <c r="AK98" s="51">
        <f t="shared" si="130"/>
        <v>1.0000002461932946</v>
      </c>
      <c r="AL98" s="51">
        <f t="shared" si="131"/>
        <v>7.0170256401457182E-4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24.1242167793561+260.535810064593i</v>
      </c>
      <c r="BG98" s="66">
        <f t="shared" si="147"/>
        <v>48.354425163683487</v>
      </c>
      <c r="BH98" s="63">
        <f t="shared" si="148"/>
        <v>84.709803085978507</v>
      </c>
      <c r="BI98" s="60" t="e">
        <f t="shared" si="101"/>
        <v>#NUM!</v>
      </c>
      <c r="BJ98" s="66" t="e">
        <f t="shared" si="149"/>
        <v>#NUM!</v>
      </c>
      <c r="BK98" s="63" t="e">
        <f t="shared" si="102"/>
        <v>#NUM!</v>
      </c>
      <c r="BL98" s="51">
        <f t="shared" si="150"/>
        <v>48.354425163683487</v>
      </c>
      <c r="BM98" s="63">
        <f t="shared" si="151"/>
        <v>84.709803085978507</v>
      </c>
    </row>
    <row r="99" spans="14:65" x14ac:dyDescent="0.3">
      <c r="N99" s="11">
        <v>81</v>
      </c>
      <c r="O99" s="52">
        <f t="shared" si="115"/>
        <v>64.565422903465588</v>
      </c>
      <c r="P99" s="50" t="str">
        <f t="shared" si="103"/>
        <v>23.3035714285714</v>
      </c>
      <c r="Q99" s="18" t="str">
        <f t="shared" si="104"/>
        <v>1+0.153867307344394i</v>
      </c>
      <c r="R99" s="18">
        <f t="shared" si="116"/>
        <v>1.0117683273701614</v>
      </c>
      <c r="S99" s="18">
        <f t="shared" si="117"/>
        <v>0.15266999272958237</v>
      </c>
      <c r="T99" s="18" t="str">
        <f t="shared" si="105"/>
        <v>1+0.000718047434273838i</v>
      </c>
      <c r="U99" s="18">
        <f t="shared" si="118"/>
        <v>1.0000002577960256</v>
      </c>
      <c r="V99" s="18">
        <f t="shared" si="119"/>
        <v>7.1804731086734378E-4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22.7619607909406-3.52003947871169i</v>
      </c>
      <c r="AD99" s="66">
        <f t="shared" si="125"/>
        <v>27.246833718783105</v>
      </c>
      <c r="AE99" s="63">
        <f t="shared" si="126"/>
        <v>-8.7909085838059138</v>
      </c>
      <c r="AF99" s="51" t="e">
        <f t="shared" si="127"/>
        <v>#NUM!</v>
      </c>
      <c r="AG99" s="51" t="str">
        <f t="shared" si="108"/>
        <v>1-0.215414230282152i</v>
      </c>
      <c r="AH99" s="51">
        <f t="shared" si="128"/>
        <v>1.0229385566142533</v>
      </c>
      <c r="AI99" s="51">
        <f t="shared" si="129"/>
        <v>-0.21217205478672813</v>
      </c>
      <c r="AJ99" s="51" t="str">
        <f t="shared" si="109"/>
        <v>1+0.000718047434273838i</v>
      </c>
      <c r="AK99" s="51">
        <f t="shared" si="130"/>
        <v>1.0000002577960256</v>
      </c>
      <c r="AL99" s="51">
        <f t="shared" si="131"/>
        <v>7.1804731086734378E-4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24.0995318115025+254.444803166257i</v>
      </c>
      <c r="BG99" s="66">
        <f t="shared" si="147"/>
        <v>48.150657580481031</v>
      </c>
      <c r="BH99" s="63">
        <f t="shared" si="148"/>
        <v>84.589417537159505</v>
      </c>
      <c r="BI99" s="60" t="e">
        <f t="shared" si="101"/>
        <v>#NUM!</v>
      </c>
      <c r="BJ99" s="66" t="e">
        <f t="shared" si="149"/>
        <v>#NUM!</v>
      </c>
      <c r="BK99" s="63" t="e">
        <f t="shared" si="102"/>
        <v>#NUM!</v>
      </c>
      <c r="BL99" s="51">
        <f t="shared" si="150"/>
        <v>48.150657580481031</v>
      </c>
      <c r="BM99" s="63">
        <f t="shared" si="151"/>
        <v>84.589417537159505</v>
      </c>
    </row>
    <row r="100" spans="14:65" x14ac:dyDescent="0.3">
      <c r="N100" s="11">
        <v>82</v>
      </c>
      <c r="O100" s="52">
        <f t="shared" si="115"/>
        <v>66.069344800759623</v>
      </c>
      <c r="P100" s="50" t="str">
        <f t="shared" si="103"/>
        <v>23.3035714285714</v>
      </c>
      <c r="Q100" s="18" t="str">
        <f t="shared" si="104"/>
        <v>1+0.157451337346627i</v>
      </c>
      <c r="R100" s="18">
        <f t="shared" si="116"/>
        <v>1.0123195758416614</v>
      </c>
      <c r="S100" s="18">
        <f t="shared" si="117"/>
        <v>0.15616923335386243</v>
      </c>
      <c r="T100" s="18" t="str">
        <f t="shared" si="105"/>
        <v>1+0.000734772907617594i</v>
      </c>
      <c r="U100" s="18">
        <f t="shared" si="118"/>
        <v>1.0000002699455763</v>
      </c>
      <c r="V100" s="18">
        <f t="shared" si="119"/>
        <v>7.3477277538515492E-4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22.7370529561764-3.59810995943366i</v>
      </c>
      <c r="AD100" s="66">
        <f t="shared" si="125"/>
        <v>27.242102881592164</v>
      </c>
      <c r="AE100" s="63">
        <f t="shared" si="126"/>
        <v>-8.9924149997353524</v>
      </c>
      <c r="AF100" s="51" t="e">
        <f t="shared" si="127"/>
        <v>#NUM!</v>
      </c>
      <c r="AG100" s="51" t="str">
        <f t="shared" si="108"/>
        <v>1-0.220431872285279i</v>
      </c>
      <c r="AH100" s="51">
        <f t="shared" si="128"/>
        <v>1.0240069386089108</v>
      </c>
      <c r="AI100" s="51">
        <f t="shared" si="129"/>
        <v>-0.21696220227264534</v>
      </c>
      <c r="AJ100" s="51" t="str">
        <f t="shared" si="109"/>
        <v>1+0.000734772907617594i</v>
      </c>
      <c r="AK100" s="51">
        <f t="shared" si="130"/>
        <v>1.0000002699455763</v>
      </c>
      <c r="AL100" s="51">
        <f t="shared" si="131"/>
        <v>7.3477277538515492E-4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24.0737384963484+248.489055708039i</v>
      </c>
      <c r="BG100" s="66">
        <f t="shared" si="147"/>
        <v>47.946717338359335</v>
      </c>
      <c r="BH100" s="63">
        <f t="shared" si="148"/>
        <v>84.466426760888808</v>
      </c>
      <c r="BI100" s="60" t="e">
        <f t="shared" si="101"/>
        <v>#NUM!</v>
      </c>
      <c r="BJ100" s="66" t="e">
        <f t="shared" si="149"/>
        <v>#NUM!</v>
      </c>
      <c r="BK100" s="63" t="e">
        <f t="shared" si="102"/>
        <v>#NUM!</v>
      </c>
      <c r="BL100" s="51">
        <f t="shared" si="150"/>
        <v>47.946717338359335</v>
      </c>
      <c r="BM100" s="63">
        <f t="shared" si="151"/>
        <v>84.466426760888808</v>
      </c>
    </row>
    <row r="101" spans="14:65" x14ac:dyDescent="0.3">
      <c r="N101" s="11">
        <v>83</v>
      </c>
      <c r="O101" s="52">
        <f t="shared" si="115"/>
        <v>67.60829753919819</v>
      </c>
      <c r="P101" s="50" t="str">
        <f t="shared" si="103"/>
        <v>23.3035714285714</v>
      </c>
      <c r="Q101" s="18" t="str">
        <f t="shared" si="104"/>
        <v>1+0.161118850132037i</v>
      </c>
      <c r="R101" s="18">
        <f t="shared" si="116"/>
        <v>1.0128964823060003</v>
      </c>
      <c r="S101" s="18">
        <f t="shared" si="117"/>
        <v>0.15974599388481323</v>
      </c>
      <c r="T101" s="18" t="str">
        <f t="shared" si="105"/>
        <v>1+0.000751887967282838i</v>
      </c>
      <c r="U101" s="18">
        <f t="shared" si="118"/>
        <v>1.0000002826677177</v>
      </c>
      <c r="V101" s="18">
        <f t="shared" si="119"/>
        <v>7.51887825593229E-4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22.7110293181001-3.67772780852645i</v>
      </c>
      <c r="AD101" s="66">
        <f t="shared" si="125"/>
        <v>27.23715460473727</v>
      </c>
      <c r="AE101" s="63">
        <f t="shared" si="126"/>
        <v>-9.1983866144208655</v>
      </c>
      <c r="AF101" s="51" t="e">
        <f t="shared" si="127"/>
        <v>#NUM!</v>
      </c>
      <c r="AG101" s="51" t="str">
        <f t="shared" si="108"/>
        <v>1-0.225566390184852i</v>
      </c>
      <c r="AH101" s="51">
        <f t="shared" si="128"/>
        <v>1.0251244784810403</v>
      </c>
      <c r="AI101" s="51">
        <f t="shared" si="129"/>
        <v>-0.22185347524424243</v>
      </c>
      <c r="AJ101" s="51" t="str">
        <f t="shared" si="109"/>
        <v>1+0.000751887967282838i</v>
      </c>
      <c r="AK101" s="51">
        <f t="shared" si="130"/>
        <v>1.0000002826677177</v>
      </c>
      <c r="AL101" s="51">
        <f t="shared" si="131"/>
        <v>7.51887825593229E-4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24.0467897103016+242.665433642847i</v>
      </c>
      <c r="BG101" s="66">
        <f t="shared" si="147"/>
        <v>47.742596761085366</v>
      </c>
      <c r="BH101" s="63">
        <f t="shared" si="148"/>
        <v>84.340783806824035</v>
      </c>
      <c r="BI101" s="60" t="e">
        <f t="shared" si="101"/>
        <v>#NUM!</v>
      </c>
      <c r="BJ101" s="66" t="e">
        <f t="shared" si="149"/>
        <v>#NUM!</v>
      </c>
      <c r="BK101" s="63" t="e">
        <f t="shared" si="102"/>
        <v>#NUM!</v>
      </c>
      <c r="BL101" s="51">
        <f t="shared" si="150"/>
        <v>47.742596761085366</v>
      </c>
      <c r="BM101" s="63">
        <f t="shared" si="151"/>
        <v>84.340783806824035</v>
      </c>
    </row>
    <row r="102" spans="14:65" x14ac:dyDescent="0.3">
      <c r="N102" s="11">
        <v>84</v>
      </c>
      <c r="O102" s="52">
        <f t="shared" si="115"/>
        <v>69.183097091893657</v>
      </c>
      <c r="P102" s="50" t="str">
        <f t="shared" si="103"/>
        <v>23.3035714285714</v>
      </c>
      <c r="Q102" s="18" t="str">
        <f t="shared" si="104"/>
        <v>1+0.164871790264446i</v>
      </c>
      <c r="R102" s="18">
        <f t="shared" si="116"/>
        <v>1.0135002255673176</v>
      </c>
      <c r="S102" s="18">
        <f t="shared" si="117"/>
        <v>0.16340180451518313</v>
      </c>
      <c r="T102" s="18" t="str">
        <f t="shared" si="105"/>
        <v>1+0.000769401687900749i</v>
      </c>
      <c r="U102" s="18">
        <f t="shared" si="118"/>
        <v>1.000000295989435</v>
      </c>
      <c r="V102" s="18">
        <f t="shared" si="119"/>
        <v>7.6940153607759991E-4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22.6838426752866-3.75891078375083i</v>
      </c>
      <c r="AD102" s="66">
        <f t="shared" si="125"/>
        <v>27.231979159171303</v>
      </c>
      <c r="AE102" s="63">
        <f t="shared" si="126"/>
        <v>-9.4089116519817555</v>
      </c>
      <c r="AF102" s="51" t="e">
        <f t="shared" si="127"/>
        <v>#NUM!</v>
      </c>
      <c r="AG102" s="51" t="str">
        <f t="shared" si="108"/>
        <v>1-0.230820506370225i</v>
      </c>
      <c r="AH102" s="51">
        <f t="shared" si="128"/>
        <v>1.0262933821091351</v>
      </c>
      <c r="AI102" s="51">
        <f t="shared" si="129"/>
        <v>-0.22684753052134932</v>
      </c>
      <c r="AJ102" s="51" t="str">
        <f t="shared" si="109"/>
        <v>1+0.000769401687900749i</v>
      </c>
      <c r="AK102" s="51">
        <f t="shared" si="130"/>
        <v>1.000000295989435</v>
      </c>
      <c r="AL102" s="51">
        <f t="shared" si="131"/>
        <v>7.6940153607759991E-4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24.0186365738474+236.970874535099i</v>
      </c>
      <c r="BG102" s="66">
        <f t="shared" si="147"/>
        <v>47.538287853396255</v>
      </c>
      <c r="BH102" s="63">
        <f t="shared" si="148"/>
        <v>84.212441554925121</v>
      </c>
      <c r="BI102" s="60" t="e">
        <f t="shared" si="101"/>
        <v>#NUM!</v>
      </c>
      <c r="BJ102" s="66" t="e">
        <f t="shared" si="149"/>
        <v>#NUM!</v>
      </c>
      <c r="BK102" s="63" t="e">
        <f t="shared" si="102"/>
        <v>#NUM!</v>
      </c>
      <c r="BL102" s="51">
        <f t="shared" si="150"/>
        <v>47.538287853396255</v>
      </c>
      <c r="BM102" s="63">
        <f t="shared" si="151"/>
        <v>84.212441554925121</v>
      </c>
    </row>
    <row r="103" spans="14:65" x14ac:dyDescent="0.3">
      <c r="N103" s="11">
        <v>85</v>
      </c>
      <c r="O103" s="52">
        <f t="shared" si="115"/>
        <v>70.794578438413865</v>
      </c>
      <c r="P103" s="50" t="str">
        <f t="shared" si="103"/>
        <v>23.3035714285714</v>
      </c>
      <c r="Q103" s="18" t="str">
        <f t="shared" si="104"/>
        <v>1+0.16871214760239i</v>
      </c>
      <c r="R103" s="18">
        <f t="shared" si="116"/>
        <v>1.0141320371374778</v>
      </c>
      <c r="S103" s="18">
        <f t="shared" si="117"/>
        <v>0.16713821252789293</v>
      </c>
      <c r="T103" s="18" t="str">
        <f t="shared" si="105"/>
        <v>1+0.000787323355477821i</v>
      </c>
      <c r="U103" s="18">
        <f t="shared" si="118"/>
        <v>1.0000003099389849</v>
      </c>
      <c r="V103" s="18">
        <f t="shared" si="119"/>
        <v>7.8732319279638859E-4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22.6554440902406-3.84167587760773i</v>
      </c>
      <c r="AD103" s="66">
        <f t="shared" si="125"/>
        <v>27.226566405375486</v>
      </c>
      <c r="AE103" s="63">
        <f t="shared" si="126"/>
        <v>-9.6240793285555224</v>
      </c>
      <c r="AF103" s="51" t="e">
        <f t="shared" si="127"/>
        <v>#NUM!</v>
      </c>
      <c r="AG103" s="51" t="str">
        <f t="shared" si="108"/>
        <v>1-0.236197006643347i</v>
      </c>
      <c r="AH103" s="51">
        <f t="shared" si="128"/>
        <v>1.0275159492422865</v>
      </c>
      <c r="AI103" s="51">
        <f t="shared" si="129"/>
        <v>-0.2319460191326764</v>
      </c>
      <c r="AJ103" s="51" t="str">
        <f t="shared" si="109"/>
        <v>1+0.000787323355477821i</v>
      </c>
      <c r="AK103" s="51">
        <f t="shared" si="130"/>
        <v>1.0000003099389849</v>
      </c>
      <c r="AL103" s="51">
        <f t="shared" si="131"/>
        <v>7.8732319279638859E-4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23.9892284096776+231.402386031913i</v>
      </c>
      <c r="BG103" s="66">
        <f t="shared" si="147"/>
        <v>47.333782289840656</v>
      </c>
      <c r="BH103" s="63">
        <f t="shared" si="148"/>
        <v>84.081352770784918</v>
      </c>
      <c r="BI103" s="60" t="e">
        <f t="shared" si="101"/>
        <v>#NUM!</v>
      </c>
      <c r="BJ103" s="66" t="e">
        <f t="shared" si="149"/>
        <v>#NUM!</v>
      </c>
      <c r="BK103" s="63" t="e">
        <f t="shared" si="102"/>
        <v>#NUM!</v>
      </c>
      <c r="BL103" s="51">
        <f t="shared" si="150"/>
        <v>47.333782289840656</v>
      </c>
      <c r="BM103" s="63">
        <f t="shared" si="151"/>
        <v>84.081352770784918</v>
      </c>
    </row>
    <row r="104" spans="14:65" x14ac:dyDescent="0.3">
      <c r="N104" s="11">
        <v>86</v>
      </c>
      <c r="O104" s="52">
        <f t="shared" si="115"/>
        <v>72.443596007499011</v>
      </c>
      <c r="P104" s="50" t="str">
        <f t="shared" si="103"/>
        <v>23.3035714285714</v>
      </c>
      <c r="Q104" s="18" t="str">
        <f t="shared" si="104"/>
        <v>1+0.172641958354162i</v>
      </c>
      <c r="R104" s="18">
        <f t="shared" si="116"/>
        <v>1.0147932034579066</v>
      </c>
      <c r="S104" s="18">
        <f t="shared" si="117"/>
        <v>0.17095678150102869</v>
      </c>
      <c r="T104" s="18" t="str">
        <f t="shared" si="105"/>
        <v>1+0.000805662472319421i</v>
      </c>
      <c r="U104" s="18">
        <f t="shared" si="118"/>
        <v>1.000000324545957</v>
      </c>
      <c r="V104" s="18">
        <f t="shared" si="119"/>
        <v>8.0566229800312864E-4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22.6257828503307-3.92603922990215i</v>
      </c>
      <c r="AD104" s="66">
        <f t="shared" si="125"/>
        <v>27.220905778366038</v>
      </c>
      <c r="AE104" s="63">
        <f t="shared" si="126"/>
        <v>-9.8439798070456046</v>
      </c>
      <c r="AF104" s="51" t="e">
        <f t="shared" si="127"/>
        <v>#NUM!</v>
      </c>
      <c r="AG104" s="51" t="str">
        <f t="shared" si="108"/>
        <v>1-0.241698741695827i</v>
      </c>
      <c r="AH104" s="51">
        <f t="shared" si="128"/>
        <v>1.0287945770353508</v>
      </c>
      <c r="AI104" s="51">
        <f t="shared" si="129"/>
        <v>-0.23715058362835031</v>
      </c>
      <c r="AJ104" s="51" t="str">
        <f t="shared" si="109"/>
        <v>1+0.000805662472319421i</v>
      </c>
      <c r="AK104" s="51">
        <f t="shared" si="130"/>
        <v>1.000000324545957</v>
      </c>
      <c r="AL104" s="51">
        <f t="shared" si="131"/>
        <v>8.0566229800312864E-4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23.9585127022325+225.957044376389i</v>
      </c>
      <c r="BG104" s="66">
        <f t="shared" si="147"/>
        <v>47.129071403432718</v>
      </c>
      <c r="BH104" s="63">
        <f t="shared" si="148"/>
        <v>83.947470165713611</v>
      </c>
      <c r="BI104" s="60" t="e">
        <f t="shared" si="101"/>
        <v>#NUM!</v>
      </c>
      <c r="BJ104" s="66" t="e">
        <f t="shared" si="149"/>
        <v>#NUM!</v>
      </c>
      <c r="BK104" s="63" t="e">
        <f t="shared" si="102"/>
        <v>#NUM!</v>
      </c>
      <c r="BL104" s="51">
        <f t="shared" si="150"/>
        <v>47.129071403432718</v>
      </c>
      <c r="BM104" s="63">
        <f t="shared" si="151"/>
        <v>83.947470165713611</v>
      </c>
    </row>
    <row r="105" spans="14:65" x14ac:dyDescent="0.3">
      <c r="N105" s="11">
        <v>87</v>
      </c>
      <c r="O105" s="52">
        <f t="shared" si="115"/>
        <v>74.131024130091816</v>
      </c>
      <c r="P105" s="50" t="str">
        <f t="shared" si="103"/>
        <v>23.3035714285714</v>
      </c>
      <c r="Q105" s="18" t="str">
        <f t="shared" si="104"/>
        <v>1+0.17666330615744i</v>
      </c>
      <c r="R105" s="18">
        <f t="shared" si="116"/>
        <v>1.0154850682026189</v>
      </c>
      <c r="S105" s="18">
        <f t="shared" si="117"/>
        <v>0.17485909042424008</v>
      </c>
      <c r="T105" s="18" t="str">
        <f t="shared" si="105"/>
        <v>1+0.000824428762068052i</v>
      </c>
      <c r="U105" s="18">
        <f t="shared" si="118"/>
        <v>1.0000003398413342</v>
      </c>
      <c r="V105" s="18">
        <f t="shared" si="119"/>
        <v>8.244285752847828E-4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22.5948064304038-4.01201603491827i</v>
      </c>
      <c r="AD105" s="66">
        <f t="shared" si="125"/>
        <v>27.214986272374588</v>
      </c>
      <c r="AE105" s="63">
        <f t="shared" si="126"/>
        <v>-10.068704146800984</v>
      </c>
      <c r="AF105" s="51" t="e">
        <f t="shared" si="127"/>
        <v>#NUM!</v>
      </c>
      <c r="AG105" s="51" t="str">
        <f t="shared" si="108"/>
        <v>1-0.247328628620416i</v>
      </c>
      <c r="AH105" s="51">
        <f t="shared" si="128"/>
        <v>1.0301317636764995</v>
      </c>
      <c r="AI105" s="51">
        <f t="shared" si="129"/>
        <v>-0.24246285521351377</v>
      </c>
      <c r="AJ105" s="51" t="str">
        <f t="shared" si="109"/>
        <v>1+0.000824428762068052i</v>
      </c>
      <c r="AK105" s="51">
        <f t="shared" si="130"/>
        <v>1.0000003398413342</v>
      </c>
      <c r="AL105" s="51">
        <f t="shared" si="131"/>
        <v>8.244285752847828E-4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23.9264350589875+220.631992962373i</v>
      </c>
      <c r="BG105" s="66">
        <f t="shared" si="147"/>
        <v>46.92414617413823</v>
      </c>
      <c r="BH105" s="63">
        <f t="shared" si="148"/>
        <v>83.810746461847032</v>
      </c>
      <c r="BI105" s="60" t="e">
        <f t="shared" si="101"/>
        <v>#NUM!</v>
      </c>
      <c r="BJ105" s="66" t="e">
        <f t="shared" si="149"/>
        <v>#NUM!</v>
      </c>
      <c r="BK105" s="63" t="e">
        <f t="shared" si="102"/>
        <v>#NUM!</v>
      </c>
      <c r="BL105" s="51">
        <f t="shared" si="150"/>
        <v>46.92414617413823</v>
      </c>
      <c r="BM105" s="63">
        <f t="shared" si="151"/>
        <v>83.810746461847032</v>
      </c>
    </row>
    <row r="106" spans="14:65" x14ac:dyDescent="0.3">
      <c r="N106" s="11">
        <v>88</v>
      </c>
      <c r="O106" s="52">
        <f t="shared" si="115"/>
        <v>75.857757502918361</v>
      </c>
      <c r="P106" s="50" t="str">
        <f t="shared" si="103"/>
        <v>23.3035714285714</v>
      </c>
      <c r="Q106" s="18" t="str">
        <f t="shared" si="104"/>
        <v>1+0.180778323184057i</v>
      </c>
      <c r="R106" s="18">
        <f t="shared" si="116"/>
        <v>1.0162090346642463</v>
      </c>
      <c r="S106" s="18">
        <f t="shared" si="117"/>
        <v>0.17884673272113366</v>
      </c>
      <c r="T106" s="18" t="str">
        <f t="shared" si="105"/>
        <v>1+0.000843632174858935i</v>
      </c>
      <c r="U106" s="18">
        <f t="shared" si="118"/>
        <v>1.0000003558575599</v>
      </c>
      <c r="V106" s="18">
        <f t="shared" si="119"/>
        <v>8.4363197471706006E-4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22.5624604574161-4.09962044300989i</v>
      </c>
      <c r="AD106" s="66">
        <f t="shared" si="125"/>
        <v>27.20879642521734</v>
      </c>
      <c r="AE106" s="63">
        <f t="shared" si="126"/>
        <v>-10.298344247915489</v>
      </c>
      <c r="AF106" s="51" t="e">
        <f t="shared" si="127"/>
        <v>#NUM!</v>
      </c>
      <c r="AG106" s="51" t="str">
        <f t="shared" si="108"/>
        <v>1-0.253089652457681i</v>
      </c>
      <c r="AH106" s="51">
        <f t="shared" si="128"/>
        <v>1.0315301121058704</v>
      </c>
      <c r="AI106" s="51">
        <f t="shared" si="129"/>
        <v>-0.24788445069704571</v>
      </c>
      <c r="AJ106" s="51" t="str">
        <f t="shared" si="109"/>
        <v>1+0.000843632174858935i</v>
      </c>
      <c r="AK106" s="51">
        <f t="shared" si="130"/>
        <v>1.0000003558575599</v>
      </c>
      <c r="AL106" s="51">
        <f t="shared" si="131"/>
        <v>8.4363197471706006E-4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23.8929391738239+215.424440930109i</v>
      </c>
      <c r="BG106" s="66">
        <f t="shared" si="147"/>
        <v>46.718997217215936</v>
      </c>
      <c r="BH106" s="63">
        <f t="shared" si="148"/>
        <v>83.671134462563799</v>
      </c>
      <c r="BI106" s="60" t="e">
        <f t="shared" si="101"/>
        <v>#NUM!</v>
      </c>
      <c r="BJ106" s="66" t="e">
        <f t="shared" si="149"/>
        <v>#NUM!</v>
      </c>
      <c r="BK106" s="63" t="e">
        <f t="shared" si="102"/>
        <v>#NUM!</v>
      </c>
      <c r="BL106" s="51">
        <f t="shared" si="150"/>
        <v>46.718997217215936</v>
      </c>
      <c r="BM106" s="63">
        <f t="shared" si="151"/>
        <v>83.671134462563799</v>
      </c>
    </row>
    <row r="107" spans="14:65" x14ac:dyDescent="0.3">
      <c r="N107" s="11">
        <v>89</v>
      </c>
      <c r="O107" s="52">
        <f t="shared" si="115"/>
        <v>77.624711662869217</v>
      </c>
      <c r="P107" s="50" t="str">
        <f t="shared" si="103"/>
        <v>23.3035714285714</v>
      </c>
      <c r="Q107" s="18" t="str">
        <f t="shared" si="104"/>
        <v>1+0.184989191270511i</v>
      </c>
      <c r="R107" s="18">
        <f t="shared" si="116"/>
        <v>1.0169665682247955</v>
      </c>
      <c r="S107" s="18">
        <f t="shared" si="117"/>
        <v>0.18292131517209051</v>
      </c>
      <c r="T107" s="18" t="str">
        <f t="shared" si="105"/>
        <v>1+0.00086328289259572i</v>
      </c>
      <c r="U107" s="18">
        <f t="shared" si="118"/>
        <v>1.0000003726286069</v>
      </c>
      <c r="V107" s="18">
        <f t="shared" si="119"/>
        <v>8.6328267813984153E-4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22.5286886774499-4.18886545642054i</v>
      </c>
      <c r="AD107" s="66">
        <f t="shared" si="125"/>
        <v>27.20232430237256</v>
      </c>
      <c r="AE107" s="63">
        <f t="shared" si="126"/>
        <v>-10.532992789830516</v>
      </c>
      <c r="AF107" s="51" t="e">
        <f t="shared" si="127"/>
        <v>#NUM!</v>
      </c>
      <c r="AG107" s="51" t="str">
        <f t="shared" si="108"/>
        <v>1-0.258984867778717i</v>
      </c>
      <c r="AH107" s="51">
        <f t="shared" si="128"/>
        <v>1.0329923338236153</v>
      </c>
      <c r="AI107" s="51">
        <f t="shared" si="129"/>
        <v>-0.25341696924981899</v>
      </c>
      <c r="AJ107" s="51" t="str">
        <f t="shared" si="109"/>
        <v>1+0.00086328289259572i</v>
      </c>
      <c r="AK107" s="51">
        <f t="shared" si="130"/>
        <v>1.0000003726286069</v>
      </c>
      <c r="AL107" s="51">
        <f t="shared" si="131"/>
        <v>8.6328267813984153E-4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23.8579667928754+210.331661802132i</v>
      </c>
      <c r="BG107" s="66">
        <f t="shared" si="147"/>
        <v>46.513614771437624</v>
      </c>
      <c r="BH107" s="63">
        <f t="shared" si="148"/>
        <v>83.528587128496667</v>
      </c>
      <c r="BI107" s="60" t="e">
        <f t="shared" si="101"/>
        <v>#NUM!</v>
      </c>
      <c r="BJ107" s="66" t="e">
        <f t="shared" si="149"/>
        <v>#NUM!</v>
      </c>
      <c r="BK107" s="63" t="e">
        <f t="shared" si="102"/>
        <v>#NUM!</v>
      </c>
      <c r="BL107" s="51">
        <f t="shared" si="150"/>
        <v>46.513614771437624</v>
      </c>
      <c r="BM107" s="63">
        <f t="shared" si="151"/>
        <v>83.528587128496667</v>
      </c>
    </row>
    <row r="108" spans="14:65" x14ac:dyDescent="0.3">
      <c r="N108" s="11">
        <v>90</v>
      </c>
      <c r="O108" s="52">
        <f t="shared" si="115"/>
        <v>79.432823472428197</v>
      </c>
      <c r="P108" s="50" t="str">
        <f t="shared" si="103"/>
        <v>23.3035714285714</v>
      </c>
      <c r="Q108" s="18" t="str">
        <f t="shared" si="104"/>
        <v>1+0.189298143074798i</v>
      </c>
      <c r="R108" s="18">
        <f t="shared" si="116"/>
        <v>1.0177591989127717</v>
      </c>
      <c r="S108" s="18">
        <f t="shared" si="117"/>
        <v>0.18708445673172899</v>
      </c>
      <c r="T108" s="18" t="str">
        <f t="shared" si="105"/>
        <v>1+0.00088339133434906i</v>
      </c>
      <c r="U108" s="18">
        <f t="shared" si="118"/>
        <v>1.0000003901900487</v>
      </c>
      <c r="V108" s="18">
        <f t="shared" si="119"/>
        <v>8.8339110455545097E-4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22.4934329255148-4.27976281915372i</v>
      </c>
      <c r="AD108" s="66">
        <f t="shared" si="125"/>
        <v>27.195557480787542</v>
      </c>
      <c r="AE108" s="63">
        <f t="shared" si="126"/>
        <v>-10.772743163907435</v>
      </c>
      <c r="AF108" s="51" t="e">
        <f t="shared" si="127"/>
        <v>#NUM!</v>
      </c>
      <c r="AG108" s="51" t="str">
        <f t="shared" si="108"/>
        <v>1-0.265017400304718i</v>
      </c>
      <c r="AH108" s="51">
        <f t="shared" si="128"/>
        <v>1.0345212527852055</v>
      </c>
      <c r="AI108" s="51">
        <f t="shared" si="129"/>
        <v>-0.25906198896726101</v>
      </c>
      <c r="AJ108" s="51" t="str">
        <f t="shared" si="109"/>
        <v>1+0.00088339133434906i</v>
      </c>
      <c r="AK108" s="51">
        <f t="shared" si="130"/>
        <v>1.0000003901900487</v>
      </c>
      <c r="AL108" s="51">
        <f t="shared" si="131"/>
        <v>8.8339110455545097E-4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23.8214576832509+205.350992158841i</v>
      </c>
      <c r="BG108" s="66">
        <f t="shared" si="147"/>
        <v>46.307988687216977</v>
      </c>
      <c r="BH108" s="63">
        <f t="shared" si="148"/>
        <v>83.383057659440965</v>
      </c>
      <c r="BI108" s="60" t="e">
        <f t="shared" si="101"/>
        <v>#NUM!</v>
      </c>
      <c r="BJ108" s="66" t="e">
        <f t="shared" si="149"/>
        <v>#NUM!</v>
      </c>
      <c r="BK108" s="63" t="e">
        <f t="shared" si="102"/>
        <v>#NUM!</v>
      </c>
      <c r="BL108" s="51">
        <f t="shared" si="150"/>
        <v>46.307988687216977</v>
      </c>
      <c r="BM108" s="63">
        <f t="shared" si="151"/>
        <v>83.383057659440965</v>
      </c>
    </row>
    <row r="109" spans="14:65" x14ac:dyDescent="0.3">
      <c r="N109" s="11">
        <v>91</v>
      </c>
      <c r="O109" s="52">
        <f t="shared" si="115"/>
        <v>81.283051616409963</v>
      </c>
      <c r="P109" s="50" t="str">
        <f t="shared" si="103"/>
        <v>23.3035714285714</v>
      </c>
      <c r="Q109" s="18" t="str">
        <f t="shared" si="104"/>
        <v>1+0.193707463260201i</v>
      </c>
      <c r="R109" s="18">
        <f t="shared" si="116"/>
        <v>1.0185885240482055</v>
      </c>
      <c r="S109" s="18">
        <f t="shared" si="117"/>
        <v>0.1913377872351002</v>
      </c>
      <c r="T109" s="18" t="str">
        <f t="shared" si="105"/>
        <v>1+0.000903968161880937i</v>
      </c>
      <c r="U109" s="18">
        <f t="shared" si="118"/>
        <v>1.0000004085791354</v>
      </c>
      <c r="V109" s="18">
        <f t="shared" si="119"/>
        <v>9.0396791565265416E-4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22.4566330985687-4.37232290072948i</v>
      </c>
      <c r="AD109" s="66">
        <f t="shared" si="125"/>
        <v>27.188483032441745</v>
      </c>
      <c r="AE109" s="63">
        <f t="shared" si="126"/>
        <v>-11.017689399633921</v>
      </c>
      <c r="AF109" s="51" t="e">
        <f t="shared" si="127"/>
        <v>#NUM!</v>
      </c>
      <c r="AG109" s="51" t="str">
        <f t="shared" si="108"/>
        <v>1-0.271190448564281i</v>
      </c>
      <c r="AH109" s="51">
        <f t="shared" si="128"/>
        <v>1.0361198093813746</v>
      </c>
      <c r="AI109" s="51">
        <f t="shared" si="129"/>
        <v>-0.26482106323148785</v>
      </c>
      <c r="AJ109" s="51" t="str">
        <f t="shared" si="109"/>
        <v>1+0.000903968161880937i</v>
      </c>
      <c r="AK109" s="51">
        <f t="shared" si="130"/>
        <v>1.0000004085791354</v>
      </c>
      <c r="AL109" s="51">
        <f t="shared" si="131"/>
        <v>9.0396791565265416E-4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23.7833496050989+200.479830353135i</v>
      </c>
      <c r="BG109" s="66">
        <f t="shared" si="147"/>
        <v>46.102108414678717</v>
      </c>
      <c r="BH109" s="63">
        <f t="shared" si="148"/>
        <v>83.234499582458866</v>
      </c>
      <c r="BI109" s="60" t="e">
        <f t="shared" si="101"/>
        <v>#NUM!</v>
      </c>
      <c r="BJ109" s="66" t="e">
        <f t="shared" si="149"/>
        <v>#NUM!</v>
      </c>
      <c r="BK109" s="63" t="e">
        <f t="shared" si="102"/>
        <v>#NUM!</v>
      </c>
      <c r="BL109" s="51">
        <f t="shared" si="150"/>
        <v>46.102108414678717</v>
      </c>
      <c r="BM109" s="63">
        <f t="shared" si="151"/>
        <v>83.234499582458866</v>
      </c>
    </row>
    <row r="110" spans="14:65" x14ac:dyDescent="0.3">
      <c r="N110" s="11">
        <v>92</v>
      </c>
      <c r="O110" s="52">
        <f t="shared" si="115"/>
        <v>83.176377110267126</v>
      </c>
      <c r="P110" s="50" t="str">
        <f t="shared" si="103"/>
        <v>23.3035714285714</v>
      </c>
      <c r="Q110" s="18" t="str">
        <f t="shared" si="104"/>
        <v>1+0.198219489706645i</v>
      </c>
      <c r="R110" s="18">
        <f t="shared" si="116"/>
        <v>1.0194562109769909</v>
      </c>
      <c r="S110" s="18">
        <f t="shared" si="117"/>
        <v>0.19568294598651143</v>
      </c>
      <c r="T110" s="18" t="str">
        <f t="shared" si="105"/>
        <v>1+0.000925024285297677i</v>
      </c>
      <c r="U110" s="18">
        <f t="shared" si="118"/>
        <v>1.0000004278348726</v>
      </c>
      <c r="V110" s="18">
        <f t="shared" si="119"/>
        <v>9.2502402145932443E-4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22.4182271322251-4.46655457367471i</v>
      </c>
      <c r="AD110" s="66">
        <f t="shared" si="125"/>
        <v>27.181087507694528</v>
      </c>
      <c r="AE110" s="63">
        <f t="shared" si="126"/>
        <v>-11.267926084111631</v>
      </c>
      <c r="AF110" s="51" t="e">
        <f t="shared" si="127"/>
        <v>#NUM!</v>
      </c>
      <c r="AG110" s="51" t="str">
        <f t="shared" si="108"/>
        <v>1-0.277507285589304i</v>
      </c>
      <c r="AH110" s="51">
        <f t="shared" si="128"/>
        <v>1.0377910644995665</v>
      </c>
      <c r="AI110" s="51">
        <f t="shared" si="129"/>
        <v>-0.27069571686881927</v>
      </c>
      <c r="AJ110" s="51" t="str">
        <f t="shared" si="109"/>
        <v>1+0.000925024285297677i</v>
      </c>
      <c r="AK110" s="51">
        <f t="shared" si="130"/>
        <v>1.0000004278348726</v>
      </c>
      <c r="AL110" s="51">
        <f t="shared" si="131"/>
        <v>9.2502402145932443E-4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23.7435782874827+195.715635263555i</v>
      </c>
      <c r="BG110" s="66">
        <f t="shared" si="147"/>
        <v>45.895962991705723</v>
      </c>
      <c r="BH110" s="63">
        <f t="shared" si="148"/>
        <v>83.082866846495889</v>
      </c>
      <c r="BI110" s="60" t="e">
        <f t="shared" si="101"/>
        <v>#NUM!</v>
      </c>
      <c r="BJ110" s="66" t="e">
        <f t="shared" si="149"/>
        <v>#NUM!</v>
      </c>
      <c r="BK110" s="63" t="e">
        <f t="shared" si="102"/>
        <v>#NUM!</v>
      </c>
      <c r="BL110" s="51">
        <f t="shared" si="150"/>
        <v>45.895962991705723</v>
      </c>
      <c r="BM110" s="63">
        <f t="shared" si="151"/>
        <v>83.082866846495889</v>
      </c>
    </row>
    <row r="111" spans="14:65" x14ac:dyDescent="0.3">
      <c r="N111" s="11">
        <v>93</v>
      </c>
      <c r="O111" s="52">
        <f t="shared" si="115"/>
        <v>85.113803820237734</v>
      </c>
      <c r="P111" s="50" t="str">
        <f t="shared" si="103"/>
        <v>23.3035714285714</v>
      </c>
      <c r="Q111" s="18" t="str">
        <f t="shared" si="104"/>
        <v>1+0.202836614750277i</v>
      </c>
      <c r="R111" s="18">
        <f t="shared" si="116"/>
        <v>1.0203639998957981</v>
      </c>
      <c r="S111" s="18">
        <f t="shared" si="117"/>
        <v>0.20012158022476625</v>
      </c>
      <c r="T111" s="18" t="str">
        <f t="shared" si="105"/>
        <v>1+0.000946570868834627i</v>
      </c>
      <c r="U111" s="18">
        <f t="shared" si="118"/>
        <v>1.0000004479981046</v>
      </c>
      <c r="V111" s="18">
        <f t="shared" si="119"/>
        <v>9.4657058612674554E-4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22.3781509816525-4.56246508461642i</v>
      </c>
      <c r="AD111" s="66">
        <f t="shared" si="125"/>
        <v>27.173356918451852</v>
      </c>
      <c r="AE111" s="63">
        <f t="shared" si="126"/>
        <v>-11.523548274472319</v>
      </c>
      <c r="AF111" s="51" t="e">
        <f t="shared" si="127"/>
        <v>#NUM!</v>
      </c>
      <c r="AG111" s="51" t="str">
        <f t="shared" si="108"/>
        <v>1-0.283971260650389i</v>
      </c>
      <c r="AH111" s="51">
        <f t="shared" si="128"/>
        <v>1.0395382036632281</v>
      </c>
      <c r="AI111" s="51">
        <f t="shared" si="129"/>
        <v>-0.2766874420991744</v>
      </c>
      <c r="AJ111" s="51" t="str">
        <f t="shared" si="109"/>
        <v>1+0.000946570868834627i</v>
      </c>
      <c r="AK111" s="51">
        <f t="shared" si="130"/>
        <v>1.0000004479981046</v>
      </c>
      <c r="AL111" s="51">
        <f t="shared" si="131"/>
        <v>9.4657058612674554E-4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23.702077408601+191.055925085294i</v>
      </c>
      <c r="BG111" s="66">
        <f t="shared" si="147"/>
        <v>45.689541032002964</v>
      </c>
      <c r="BH111" s="63">
        <f t="shared" si="148"/>
        <v>82.928113923820177</v>
      </c>
      <c r="BI111" s="60" t="e">
        <f t="shared" si="101"/>
        <v>#NUM!</v>
      </c>
      <c r="BJ111" s="66" t="e">
        <f t="shared" si="149"/>
        <v>#NUM!</v>
      </c>
      <c r="BK111" s="63" t="e">
        <f t="shared" si="102"/>
        <v>#NUM!</v>
      </c>
      <c r="BL111" s="51">
        <f t="shared" si="150"/>
        <v>45.689541032002964</v>
      </c>
      <c r="BM111" s="63">
        <f t="shared" si="151"/>
        <v>82.928113923820177</v>
      </c>
    </row>
    <row r="112" spans="14:65" x14ac:dyDescent="0.3">
      <c r="N112" s="11">
        <v>94</v>
      </c>
      <c r="O112" s="52">
        <f t="shared" si="115"/>
        <v>87.096358995608071</v>
      </c>
      <c r="P112" s="50" t="str">
        <f t="shared" si="103"/>
        <v>23.3035714285714</v>
      </c>
      <c r="Q112" s="18" t="str">
        <f t="shared" si="104"/>
        <v>1+0.207561286451909i</v>
      </c>
      <c r="R112" s="18">
        <f t="shared" si="116"/>
        <v>1.0213137067686751</v>
      </c>
      <c r="S112" s="18">
        <f t="shared" si="117"/>
        <v>0.20465534345845646</v>
      </c>
      <c r="T112" s="18" t="str">
        <f t="shared" si="105"/>
        <v>1+0.000968619336775577i</v>
      </c>
      <c r="U112" s="18">
        <f t="shared" si="118"/>
        <v>1.0000004691115998</v>
      </c>
      <c r="V112" s="18">
        <f t="shared" si="119"/>
        <v>9.6861903384863211E-4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22.3363386072075-4.66005991886626i</v>
      </c>
      <c r="AD112" s="66">
        <f t="shared" si="125"/>
        <v>27.165276721189613</v>
      </c>
      <c r="AE112" s="63">
        <f t="shared" si="126"/>
        <v>-11.784651402856172</v>
      </c>
      <c r="AF112" s="51" t="e">
        <f t="shared" si="127"/>
        <v>#NUM!</v>
      </c>
      <c r="AG112" s="51" t="str">
        <f t="shared" si="108"/>
        <v>1-0.290585801032674i</v>
      </c>
      <c r="AH112" s="51">
        <f t="shared" si="128"/>
        <v>1.0413645412447079</v>
      </c>
      <c r="AI112" s="51">
        <f t="shared" si="129"/>
        <v>-0.28279769427461648</v>
      </c>
      <c r="AJ112" s="51" t="str">
        <f t="shared" si="109"/>
        <v>1+0.000968619336775577i</v>
      </c>
      <c r="AK112" s="51">
        <f t="shared" si="130"/>
        <v>1.0000004691115998</v>
      </c>
      <c r="AL112" s="51">
        <f t="shared" si="131"/>
        <v>9.6861903384863211E-4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23.6587785809102+186.498276158531i</v>
      </c>
      <c r="BG112" s="66">
        <f t="shared" si="147"/>
        <v>45.482830713225944</v>
      </c>
      <c r="BH112" s="63">
        <f t="shared" si="148"/>
        <v>82.77019591860666</v>
      </c>
      <c r="BI112" s="60" t="e">
        <f t="shared" si="101"/>
        <v>#NUM!</v>
      </c>
      <c r="BJ112" s="66" t="e">
        <f t="shared" si="149"/>
        <v>#NUM!</v>
      </c>
      <c r="BK112" s="63" t="e">
        <f t="shared" si="102"/>
        <v>#NUM!</v>
      </c>
      <c r="BL112" s="51">
        <f t="shared" si="150"/>
        <v>45.482830713225944</v>
      </c>
      <c r="BM112" s="63">
        <f t="shared" si="151"/>
        <v>82.77019591860666</v>
      </c>
    </row>
    <row r="113" spans="14:65" x14ac:dyDescent="0.3">
      <c r="N113" s="11">
        <v>95</v>
      </c>
      <c r="O113" s="52">
        <f t="shared" si="115"/>
        <v>89.125093813374562</v>
      </c>
      <c r="P113" s="50" t="str">
        <f t="shared" si="103"/>
        <v>23.3035714285714</v>
      </c>
      <c r="Q113" s="18" t="str">
        <f t="shared" si="104"/>
        <v>1+0.212396009895017i</v>
      </c>
      <c r="R113" s="18">
        <f t="shared" si="116"/>
        <v>1.0223072263362536</v>
      </c>
      <c r="S113" s="18">
        <f t="shared" si="117"/>
        <v>0.20928589366488207</v>
      </c>
      <c r="T113" s="18" t="str">
        <f t="shared" si="105"/>
        <v>1+0.000991181379510079i</v>
      </c>
      <c r="U113" s="18">
        <f t="shared" si="118"/>
        <v>1.000000491220143</v>
      </c>
      <c r="V113" s="18">
        <f t="shared" si="119"/>
        <v>9.911810549180181E-4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22.2927219653813-4.75934265841193i</v>
      </c>
      <c r="AD113" s="66">
        <f t="shared" si="125"/>
        <v>27.156831799876411</v>
      </c>
      <c r="AE113" s="63">
        <f t="shared" si="126"/>
        <v>-12.051331173584781</v>
      </c>
      <c r="AF113" s="51" t="e">
        <f t="shared" si="127"/>
        <v>#NUM!</v>
      </c>
      <c r="AG113" s="51" t="str">
        <f t="shared" si="108"/>
        <v>1-0.297354413853024i</v>
      </c>
      <c r="AH113" s="51">
        <f t="shared" si="128"/>
        <v>1.0432735247469263</v>
      </c>
      <c r="AI113" s="51">
        <f t="shared" si="129"/>
        <v>-0.28902788740518737</v>
      </c>
      <c r="AJ113" s="51" t="str">
        <f t="shared" si="109"/>
        <v>1+0.000991181379510079i</v>
      </c>
      <c r="AK113" s="51">
        <f t="shared" si="130"/>
        <v>1.000000491220143</v>
      </c>
      <c r="AL113" s="51">
        <f t="shared" si="131"/>
        <v>9.911810549180181E-4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23.6136113417448+182.040321833427i</v>
      </c>
      <c r="BG113" s="66">
        <f t="shared" si="147"/>
        <v>45.275819765221705</v>
      </c>
      <c r="BH113" s="63">
        <f t="shared" si="148"/>
        <v>82.609068682987143</v>
      </c>
      <c r="BI113" s="60" t="e">
        <f t="shared" si="101"/>
        <v>#NUM!</v>
      </c>
      <c r="BJ113" s="66" t="e">
        <f t="shared" si="149"/>
        <v>#NUM!</v>
      </c>
      <c r="BK113" s="63" t="e">
        <f t="shared" si="102"/>
        <v>#NUM!</v>
      </c>
      <c r="BL113" s="51">
        <f t="shared" si="150"/>
        <v>45.275819765221705</v>
      </c>
      <c r="BM113" s="63">
        <f t="shared" si="151"/>
        <v>82.609068682987143</v>
      </c>
    </row>
    <row r="114" spans="14:65" x14ac:dyDescent="0.3">
      <c r="N114" s="11">
        <v>96</v>
      </c>
      <c r="O114" s="52">
        <f t="shared" si="115"/>
        <v>91.201083935590972</v>
      </c>
      <c r="P114" s="50" t="str">
        <f t="shared" si="103"/>
        <v>23.3035714285714</v>
      </c>
      <c r="Q114" s="18" t="str">
        <f t="shared" si="104"/>
        <v>1+0.217343348513964i</v>
      </c>
      <c r="R114" s="18">
        <f t="shared" si="116"/>
        <v>1.023346535218282</v>
      </c>
      <c r="S114" s="18">
        <f t="shared" si="117"/>
        <v>0.21401489134606741</v>
      </c>
      <c r="T114" s="18" t="str">
        <f t="shared" si="105"/>
        <v>1+0.00101426895973183i</v>
      </c>
      <c r="U114" s="18">
        <f t="shared" si="118"/>
        <v>1.000000514370629</v>
      </c>
      <c r="V114" s="18">
        <f t="shared" si="119"/>
        <v>1.01426861192518E-3</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22.2472310056825-4.86031483326125i</v>
      </c>
      <c r="AD114" s="66">
        <f t="shared" si="125"/>
        <v>27.148006448844761</v>
      </c>
      <c r="AE114" s="63">
        <f t="shared" si="126"/>
        <v>-12.323683452155198</v>
      </c>
      <c r="AF114" s="51" t="e">
        <f t="shared" si="127"/>
        <v>#NUM!</v>
      </c>
      <c r="AG114" s="51" t="str">
        <f t="shared" si="108"/>
        <v>1-0.304280687919551i</v>
      </c>
      <c r="AH114" s="51">
        <f t="shared" si="128"/>
        <v>1.0452687391483566</v>
      </c>
      <c r="AI114" s="51">
        <f t="shared" si="129"/>
        <v>-0.29537938947120135</v>
      </c>
      <c r="AJ114" s="51" t="str">
        <f t="shared" si="109"/>
        <v>1+0.00101426895973183i</v>
      </c>
      <c r="AK114" s="51">
        <f t="shared" si="130"/>
        <v>1.000000514370629</v>
      </c>
      <c r="AL114" s="51">
        <f t="shared" si="131"/>
        <v>1.01426861192518E-3</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23.5665031500902+177.679751371219i</v>
      </c>
      <c r="BG114" s="66">
        <f t="shared" si="147"/>
        <v>45.068495458440488</v>
      </c>
      <c r="BH114" s="63">
        <f t="shared" si="148"/>
        <v>82.444688940885925</v>
      </c>
      <c r="BI114" s="60" t="e">
        <f t="shared" ref="BI114:BI177" si="152">IMPRODUCT(AP114,BC114)</f>
        <v>#NUM!</v>
      </c>
      <c r="BJ114" s="66" t="e">
        <f t="shared" si="149"/>
        <v>#NUM!</v>
      </c>
      <c r="BK114" s="63" t="e">
        <f t="shared" ref="BK114:BK177" si="153">(180/PI())*IMARGUMENT(BI114)</f>
        <v>#NUM!</v>
      </c>
      <c r="BL114" s="51">
        <f t="shared" si="150"/>
        <v>45.068495458440488</v>
      </c>
      <c r="BM114" s="63">
        <f t="shared" si="151"/>
        <v>82.444688940885925</v>
      </c>
    </row>
    <row r="115" spans="14:65" x14ac:dyDescent="0.3">
      <c r="N115" s="11">
        <v>97</v>
      </c>
      <c r="O115" s="52">
        <f t="shared" si="115"/>
        <v>93.325430079699174</v>
      </c>
      <c r="P115" s="50" t="str">
        <f t="shared" si="103"/>
        <v>23.3035714285714</v>
      </c>
      <c r="Q115" s="18" t="str">
        <f t="shared" si="104"/>
        <v>1+0.222405925453174i</v>
      </c>
      <c r="R115" s="18">
        <f t="shared" si="116"/>
        <v>1.0244336951099777</v>
      </c>
      <c r="S115" s="18">
        <f t="shared" si="117"/>
        <v>0.21884399743534705</v>
      </c>
      <c r="T115" s="18" t="str">
        <f t="shared" si="105"/>
        <v>1+0.00103789431878148i</v>
      </c>
      <c r="U115" s="18">
        <f t="shared" si="118"/>
        <v>1.0000005386121635</v>
      </c>
      <c r="V115" s="18">
        <f t="shared" si="119"/>
        <v>1.037893946099951E-3</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22.1997936741107-4.96297576611831i</v>
      </c>
      <c r="AD115" s="66">
        <f t="shared" si="125"/>
        <v>27.138784355662516</v>
      </c>
      <c r="AE115" s="63">
        <f t="shared" si="126"/>
        <v>-12.601804145680671</v>
      </c>
      <c r="AF115" s="51" t="e">
        <f t="shared" si="127"/>
        <v>#NUM!</v>
      </c>
      <c r="AG115" s="51" t="str">
        <f t="shared" si="108"/>
        <v>1-0.311368295634444i</v>
      </c>
      <c r="AH115" s="51">
        <f t="shared" si="128"/>
        <v>1.0473539113051988</v>
      </c>
      <c r="AI115" s="51">
        <f t="shared" si="129"/>
        <v>-0.30185351752229861</v>
      </c>
      <c r="AJ115" s="51" t="str">
        <f t="shared" si="109"/>
        <v>1+0.00103789431878148i</v>
      </c>
      <c r="AK115" s="51">
        <f t="shared" si="130"/>
        <v>1.0000005386121635</v>
      </c>
      <c r="AL115" s="51">
        <f t="shared" si="131"/>
        <v>1.037893946099951E-3</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23.5173793901767+173.414308880711i</v>
      </c>
      <c r="BG115" s="66">
        <f t="shared" si="147"/>
        <v>44.860844592576903</v>
      </c>
      <c r="BH115" s="63">
        <f t="shared" si="148"/>
        <v>82.277014419962782</v>
      </c>
      <c r="BI115" s="60" t="e">
        <f t="shared" si="152"/>
        <v>#NUM!</v>
      </c>
      <c r="BJ115" s="66" t="e">
        <f t="shared" si="149"/>
        <v>#NUM!</v>
      </c>
      <c r="BK115" s="63" t="e">
        <f t="shared" si="153"/>
        <v>#NUM!</v>
      </c>
      <c r="BL115" s="51">
        <f t="shared" si="150"/>
        <v>44.860844592576903</v>
      </c>
      <c r="BM115" s="63">
        <f t="shared" si="151"/>
        <v>82.277014419962782</v>
      </c>
    </row>
    <row r="116" spans="14:65" x14ac:dyDescent="0.3">
      <c r="N116" s="11">
        <v>98</v>
      </c>
      <c r="O116" s="52">
        <f t="shared" si="115"/>
        <v>95.499258602143655</v>
      </c>
      <c r="P116" s="50" t="str">
        <f t="shared" si="103"/>
        <v>23.3035714285714</v>
      </c>
      <c r="Q116" s="18" t="str">
        <f t="shared" si="104"/>
        <v>1+0.227586424957949i</v>
      </c>
      <c r="R116" s="18">
        <f t="shared" si="116"/>
        <v>1.0255708560724317</v>
      </c>
      <c r="S116" s="18">
        <f t="shared" si="117"/>
        <v>0.22377487104794358</v>
      </c>
      <c r="T116" s="18" t="str">
        <f t="shared" si="105"/>
        <v>1+0.00106206998313709i</v>
      </c>
      <c r="U116" s="18">
        <f t="shared" si="118"/>
        <v>1.0000005639961655</v>
      </c>
      <c r="V116" s="18">
        <f t="shared" si="119"/>
        <v>1.0620695838016491E-3</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22.1503359239243-5.06732241041221i</v>
      </c>
      <c r="AD116" s="66">
        <f t="shared" si="125"/>
        <v>27.129148584065213</v>
      </c>
      <c r="AE116" s="63">
        <f t="shared" si="126"/>
        <v>-12.885789074402235</v>
      </c>
      <c r="AF116" s="51" t="e">
        <f t="shared" si="127"/>
        <v>#NUM!</v>
      </c>
      <c r="AG116" s="51" t="str">
        <f t="shared" si="108"/>
        <v>1-0.318620994941129i</v>
      </c>
      <c r="AH116" s="51">
        <f t="shared" si="128"/>
        <v>1.0495329144039625</v>
      </c>
      <c r="AI116" s="51">
        <f t="shared" si="129"/>
        <v>-0.3084515325648447</v>
      </c>
      <c r="AJ116" s="51" t="str">
        <f t="shared" si="109"/>
        <v>1+0.00106206998313709i</v>
      </c>
      <c r="AK116" s="51">
        <f t="shared" si="130"/>
        <v>1.0000005639961655</v>
      </c>
      <c r="AL116" s="51">
        <f t="shared" si="131"/>
        <v>1.0620695838016491E-3</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23.4661633826288+169.241792289527i</v>
      </c>
      <c r="BG116" s="66">
        <f t="shared" si="147"/>
        <v>44.652853485509254</v>
      </c>
      <c r="BH116" s="63">
        <f t="shared" si="148"/>
        <v>82.106003991977161</v>
      </c>
      <c r="BI116" s="60" t="e">
        <f t="shared" si="152"/>
        <v>#NUM!</v>
      </c>
      <c r="BJ116" s="66" t="e">
        <f t="shared" si="149"/>
        <v>#NUM!</v>
      </c>
      <c r="BK116" s="63" t="e">
        <f t="shared" si="153"/>
        <v>#NUM!</v>
      </c>
      <c r="BL116" s="51">
        <f t="shared" si="150"/>
        <v>44.652853485509254</v>
      </c>
      <c r="BM116" s="63">
        <f t="shared" si="151"/>
        <v>82.106003991977161</v>
      </c>
    </row>
    <row r="117" spans="14:65" x14ac:dyDescent="0.3">
      <c r="N117" s="11">
        <v>99</v>
      </c>
      <c r="O117" s="52">
        <f t="shared" si="115"/>
        <v>97.723722095581124</v>
      </c>
      <c r="P117" s="50" t="str">
        <f t="shared" si="103"/>
        <v>23.3035714285714</v>
      </c>
      <c r="Q117" s="18" t="str">
        <f t="shared" si="104"/>
        <v>1+0.232887593797698i</v>
      </c>
      <c r="R117" s="18">
        <f t="shared" si="116"/>
        <v>1.0267602599170274</v>
      </c>
      <c r="S117" s="18">
        <f t="shared" si="117"/>
        <v>0.22880916706906035</v>
      </c>
      <c r="T117" s="18" t="str">
        <f t="shared" si="105"/>
        <v>1+0.00108680877105593i</v>
      </c>
      <c r="U117" s="18">
        <f t="shared" si="118"/>
        <v>1.0000005905764782</v>
      </c>
      <c r="V117" s="18">
        <f t="shared" si="119"/>
        <v>1.0868083431603093E-3</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22.0987817344398-5.17334918174375i</v>
      </c>
      <c r="AD117" s="66">
        <f t="shared" si="125"/>
        <v>27.11908155701407</v>
      </c>
      <c r="AE117" s="63">
        <f t="shared" si="126"/>
        <v>-13.175733833899359</v>
      </c>
      <c r="AF117" s="51" t="e">
        <f t="shared" si="127"/>
        <v>#NUM!</v>
      </c>
      <c r="AG117" s="51" t="str">
        <f t="shared" si="108"/>
        <v>1-0.326042631316778i</v>
      </c>
      <c r="AH117" s="51">
        <f t="shared" si="128"/>
        <v>1.0518097724569631</v>
      </c>
      <c r="AI117" s="51">
        <f t="shared" si="129"/>
        <v>-0.31517463424066117</v>
      </c>
      <c r="AJ117" s="51" t="str">
        <f t="shared" si="109"/>
        <v>1+0.00108680877105593i</v>
      </c>
      <c r="AK117" s="51">
        <f t="shared" si="130"/>
        <v>1.0000005905764782</v>
      </c>
      <c r="AL117" s="51">
        <f t="shared" si="131"/>
        <v>1.0868083431603093E-3</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23.4127764039313+165.160052349415i</v>
      </c>
      <c r="BG117" s="66">
        <f t="shared" si="147"/>
        <v>44.444507962609876</v>
      </c>
      <c r="BH117" s="63">
        <f t="shared" si="148"/>
        <v>81.93161782188298</v>
      </c>
      <c r="BI117" s="60" t="e">
        <f t="shared" si="152"/>
        <v>#NUM!</v>
      </c>
      <c r="BJ117" s="66" t="e">
        <f t="shared" si="149"/>
        <v>#NUM!</v>
      </c>
      <c r="BK117" s="63" t="e">
        <f t="shared" si="153"/>
        <v>#NUM!</v>
      </c>
      <c r="BL117" s="51">
        <f t="shared" si="150"/>
        <v>44.444507962609876</v>
      </c>
      <c r="BM117" s="63">
        <f t="shared" si="151"/>
        <v>81.93161782188298</v>
      </c>
    </row>
    <row r="118" spans="14:65" x14ac:dyDescent="0.3">
      <c r="N118" s="11">
        <v>100</v>
      </c>
      <c r="O118" s="52">
        <f t="shared" si="115"/>
        <v>100</v>
      </c>
      <c r="P118" s="50" t="str">
        <f t="shared" si="103"/>
        <v>23.3035714285714</v>
      </c>
      <c r="Q118" s="18" t="str">
        <f t="shared" si="104"/>
        <v>1+0.238312242722312i</v>
      </c>
      <c r="R118" s="18">
        <f t="shared" si="116"/>
        <v>1.0280042436835259</v>
      </c>
      <c r="S118" s="18">
        <f t="shared" si="117"/>
        <v>0.23394853357305004</v>
      </c>
      <c r="T118" s="18" t="str">
        <f t="shared" si="105"/>
        <v>1+0.00111212379937079i</v>
      </c>
      <c r="U118" s="18">
        <f t="shared" si="118"/>
        <v>1.0000006184094814</v>
      </c>
      <c r="V118" s="18">
        <f t="shared" si="119"/>
        <v>1.1121233408723872E-3</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22.0450531386417-5.2810477828665i</v>
      </c>
      <c r="AD118" s="66">
        <f t="shared" si="125"/>
        <v>27.108565039951888</v>
      </c>
      <c r="AE118" s="63">
        <f t="shared" si="126"/>
        <v>-13.471733647631476</v>
      </c>
      <c r="AF118" s="51" t="e">
        <f t="shared" si="127"/>
        <v>#NUM!</v>
      </c>
      <c r="AG118" s="51" t="str">
        <f t="shared" si="108"/>
        <v>1-0.333637139811237i</v>
      </c>
      <c r="AH118" s="51">
        <f t="shared" si="128"/>
        <v>1.0541886648325445</v>
      </c>
      <c r="AI118" s="51">
        <f t="shared" si="129"/>
        <v>-0.32202395530165301</v>
      </c>
      <c r="AJ118" s="51" t="str">
        <f t="shared" si="109"/>
        <v>1+0.00111212379937079i</v>
      </c>
      <c r="AK118" s="51">
        <f t="shared" si="130"/>
        <v>1.0000006184094814</v>
      </c>
      <c r="AL118" s="51">
        <f t="shared" si="131"/>
        <v>1.1121233408723872E-3</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23.3571377150183+161.166991674863i</v>
      </c>
      <c r="BG118" s="66">
        <f t="shared" si="147"/>
        <v>44.235793346506824</v>
      </c>
      <c r="BH118" s="63">
        <f t="shared" si="148"/>
        <v>81.753817525953323</v>
      </c>
      <c r="BI118" s="60" t="e">
        <f t="shared" si="152"/>
        <v>#NUM!</v>
      </c>
      <c r="BJ118" s="66" t="e">
        <f t="shared" si="149"/>
        <v>#NUM!</v>
      </c>
      <c r="BK118" s="63" t="e">
        <f t="shared" si="153"/>
        <v>#NUM!</v>
      </c>
      <c r="BL118" s="51">
        <f t="shared" si="150"/>
        <v>44.235793346506824</v>
      </c>
      <c r="BM118" s="63">
        <f t="shared" si="151"/>
        <v>81.753817525953323</v>
      </c>
    </row>
    <row r="119" spans="14:65" x14ac:dyDescent="0.3">
      <c r="N119" s="11">
        <v>1</v>
      </c>
      <c r="O119" s="52">
        <f>10^(2+(N119/100))</f>
        <v>102.32929922807544</v>
      </c>
      <c r="P119" s="50" t="str">
        <f t="shared" si="103"/>
        <v>23.3035714285714</v>
      </c>
      <c r="Q119" s="18" t="str">
        <f t="shared" si="104"/>
        <v>1+0.243863247952452i</v>
      </c>
      <c r="R119" s="18">
        <f t="shared" si="116"/>
        <v>1.0293052432111278</v>
      </c>
      <c r="S119" s="18">
        <f t="shared" si="117"/>
        <v>0.23919460906737736</v>
      </c>
      <c r="T119" s="18" t="str">
        <f t="shared" si="105"/>
        <v>1+0.00113802849044477i</v>
      </c>
      <c r="U119" s="18">
        <f t="shared" si="118"/>
        <v>1.0000006475542129</v>
      </c>
      <c r="V119" s="18">
        <f t="shared" si="119"/>
        <v>1.1380279991548971E-3</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21.9890702604182-5.39040702237565i</v>
      </c>
      <c r="AD119" s="66">
        <f t="shared" si="125"/>
        <v>27.097580124335202</v>
      </c>
      <c r="AE119" s="63">
        <f t="shared" si="126"/>
        <v>-13.773883209450357</v>
      </c>
      <c r="AF119" s="51" t="e">
        <f t="shared" si="127"/>
        <v>#NUM!</v>
      </c>
      <c r="AG119" s="51" t="str">
        <f t="shared" si="108"/>
        <v>1-0.341408547133433i</v>
      </c>
      <c r="AH119" s="51">
        <f t="shared" si="128"/>
        <v>1.0566739308110906</v>
      </c>
      <c r="AI119" s="51">
        <f t="shared" si="129"/>
        <v>-0.32900055588658106</v>
      </c>
      <c r="AJ119" s="51" t="str">
        <f t="shared" si="109"/>
        <v>1+0.00113802849044477i</v>
      </c>
      <c r="AK119" s="51">
        <f t="shared" si="130"/>
        <v>1.0000006475542129</v>
      </c>
      <c r="AL119" s="51">
        <f t="shared" si="131"/>
        <v>1.1380279991548971E-3</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23.2991645998295+157.260563814237i</v>
      </c>
      <c r="BG119" s="66">
        <f t="shared" si="147"/>
        <v>44.026694447383264</v>
      </c>
      <c r="BH119" s="63">
        <f t="shared" si="148"/>
        <v>81.572566339220558</v>
      </c>
      <c r="BI119" s="60" t="e">
        <f t="shared" si="152"/>
        <v>#NUM!</v>
      </c>
      <c r="BJ119" s="66" t="e">
        <f t="shared" si="149"/>
        <v>#NUM!</v>
      </c>
      <c r="BK119" s="63" t="e">
        <f t="shared" si="153"/>
        <v>#NUM!</v>
      </c>
      <c r="BL119" s="51">
        <f t="shared" si="150"/>
        <v>44.026694447383264</v>
      </c>
      <c r="BM119" s="63">
        <f t="shared" si="151"/>
        <v>81.572566339220558</v>
      </c>
    </row>
    <row r="120" spans="14:65" x14ac:dyDescent="0.3">
      <c r="N120" s="11">
        <v>2</v>
      </c>
      <c r="O120" s="52">
        <f t="shared" ref="O120:O183" si="154">10^(2+(N120/100))</f>
        <v>104.71285480508998</v>
      </c>
      <c r="P120" s="50" t="str">
        <f t="shared" si="103"/>
        <v>23.3035714285714</v>
      </c>
      <c r="Q120" s="18" t="str">
        <f t="shared" si="104"/>
        <v>1+0.249543552704568i</v>
      </c>
      <c r="R120" s="18">
        <f t="shared" si="116"/>
        <v>1.0306657968014741</v>
      </c>
      <c r="S120" s="18">
        <f t="shared" si="117"/>
        <v>0.24454901955532737</v>
      </c>
      <c r="T120" s="18" t="str">
        <f t="shared" si="105"/>
        <v>1+0.00116453657928798i</v>
      </c>
      <c r="U120" s="18">
        <f t="shared" si="118"/>
        <v>1.0000006780724924</v>
      </c>
      <c r="V120" s="18">
        <f t="shared" si="119"/>
        <v>1.1645360528614161E-3</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21.9307513622749-5.50141262734325i</v>
      </c>
      <c r="AD120" s="66">
        <f t="shared" si="125"/>
        <v>27.086107211528549</v>
      </c>
      <c r="AE120" s="63">
        <f t="shared" si="126"/>
        <v>-14.082276515737716</v>
      </c>
      <c r="AF120" s="51" t="e">
        <f t="shared" si="127"/>
        <v>#NUM!</v>
      </c>
      <c r="AG120" s="51" t="str">
        <f t="shared" si="108"/>
        <v>1-0.349360973786396i</v>
      </c>
      <c r="AH120" s="51">
        <f t="shared" si="128"/>
        <v>1.0592700741571901</v>
      </c>
      <c r="AI120" s="51">
        <f t="shared" si="129"/>
        <v>-0.33610541760813073</v>
      </c>
      <c r="AJ120" s="51" t="str">
        <f t="shared" si="109"/>
        <v>1+0.00116453657928798i</v>
      </c>
      <c r="AK120" s="51">
        <f t="shared" si="130"/>
        <v>1.0000006780724924</v>
      </c>
      <c r="AL120" s="51">
        <f t="shared" si="131"/>
        <v>1.1645360528614161E-3</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23.2387724147192+153.438772352597i</v>
      </c>
      <c r="BG120" s="66">
        <f t="shared" si="147"/>
        <v>43.817195553908377</v>
      </c>
      <c r="BH120" s="63">
        <f t="shared" si="148"/>
        <v>81.387829292499973</v>
      </c>
      <c r="BI120" s="60" t="e">
        <f t="shared" si="152"/>
        <v>#NUM!</v>
      </c>
      <c r="BJ120" s="66" t="e">
        <f t="shared" si="149"/>
        <v>#NUM!</v>
      </c>
      <c r="BK120" s="63" t="e">
        <f t="shared" si="153"/>
        <v>#NUM!</v>
      </c>
      <c r="BL120" s="51">
        <f t="shared" si="150"/>
        <v>43.817195553908377</v>
      </c>
      <c r="BM120" s="63">
        <f t="shared" si="151"/>
        <v>81.387829292499973</v>
      </c>
    </row>
    <row r="121" spans="14:65" x14ac:dyDescent="0.3">
      <c r="N121" s="11">
        <v>3</v>
      </c>
      <c r="O121" s="52">
        <f t="shared" si="154"/>
        <v>107.15193052376065</v>
      </c>
      <c r="P121" s="50" t="str">
        <f t="shared" si="103"/>
        <v>23.3035714285714</v>
      </c>
      <c r="Q121" s="18" t="str">
        <f t="shared" si="104"/>
        <v>1+0.255356168751427i</v>
      </c>
      <c r="R121" s="18">
        <f t="shared" si="116"/>
        <v>1.032088548972135</v>
      </c>
      <c r="S121" s="18">
        <f t="shared" si="117"/>
        <v>0.25001337541162383</v>
      </c>
      <c r="T121" s="18" t="str">
        <f t="shared" si="105"/>
        <v>1+0.00119166212083999i</v>
      </c>
      <c r="U121" s="18">
        <f t="shared" si="118"/>
        <v>1.0000007100290531</v>
      </c>
      <c r="V121" s="18">
        <f t="shared" si="119"/>
        <v>1.1916615567637856E-3</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21.8700129044145-5.61404705020778i</v>
      </c>
      <c r="AD121" s="66">
        <f t="shared" si="125"/>
        <v>27.074125997154724</v>
      </c>
      <c r="AE121" s="63">
        <f t="shared" si="126"/>
        <v>-14.397006686832786</v>
      </c>
      <c r="AF121" s="51" t="e">
        <f t="shared" si="127"/>
        <v>#NUM!</v>
      </c>
      <c r="AG121" s="51" t="str">
        <f t="shared" si="108"/>
        <v>1-0.357498636251999i</v>
      </c>
      <c r="AH121" s="51">
        <f t="shared" si="128"/>
        <v>1.0619817676975623</v>
      </c>
      <c r="AI121" s="51">
        <f t="shared" si="129"/>
        <v>-0.34333943746038764</v>
      </c>
      <c r="AJ121" s="51" t="str">
        <f t="shared" si="109"/>
        <v>1+0.00119166212083999i</v>
      </c>
      <c r="AK121" s="51">
        <f t="shared" si="130"/>
        <v>1.0000007100290531</v>
      </c>
      <c r="AL121" s="51">
        <f t="shared" si="131"/>
        <v>1.1916615567637856E-3</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23.1758746496331+149.699670045324i</v>
      </c>
      <c r="BG121" s="66">
        <f t="shared" si="147"/>
        <v>43.607280424902939</v>
      </c>
      <c r="BH121" s="63">
        <f t="shared" si="148"/>
        <v>81.199573399247484</v>
      </c>
      <c r="BI121" s="60" t="e">
        <f t="shared" si="152"/>
        <v>#NUM!</v>
      </c>
      <c r="BJ121" s="66" t="e">
        <f t="shared" si="149"/>
        <v>#NUM!</v>
      </c>
      <c r="BK121" s="63" t="e">
        <f t="shared" si="153"/>
        <v>#NUM!</v>
      </c>
      <c r="BL121" s="51">
        <f t="shared" si="150"/>
        <v>43.607280424902939</v>
      </c>
      <c r="BM121" s="63">
        <f t="shared" si="151"/>
        <v>81.199573399247484</v>
      </c>
    </row>
    <row r="122" spans="14:65" x14ac:dyDescent="0.3">
      <c r="N122" s="11">
        <v>4</v>
      </c>
      <c r="O122" s="52">
        <f t="shared" si="154"/>
        <v>109.64781961431861</v>
      </c>
      <c r="P122" s="50" t="str">
        <f t="shared" si="103"/>
        <v>23.3035714285714</v>
      </c>
      <c r="Q122" s="18" t="str">
        <f t="shared" si="104"/>
        <v>1+0.261304178018997i</v>
      </c>
      <c r="R122" s="18">
        <f t="shared" si="116"/>
        <v>1.0335762542987255</v>
      </c>
      <c r="S122" s="18">
        <f t="shared" si="117"/>
        <v>0.25558926806550886</v>
      </c>
      <c r="T122" s="18" t="str">
        <f t="shared" si="105"/>
        <v>1+0.00121941949742199i</v>
      </c>
      <c r="U122" s="18">
        <f t="shared" si="118"/>
        <v>1.0000007434916789</v>
      </c>
      <c r="V122" s="18">
        <f t="shared" si="119"/>
        <v>1.2194188930034714E-3</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21.8067696160958-5.72828927030463i</v>
      </c>
      <c r="AD122" s="66">
        <f t="shared" si="125"/>
        <v>27.061615456000933</v>
      </c>
      <c r="AE122" s="63">
        <f t="shared" si="126"/>
        <v>-14.718165777438944</v>
      </c>
      <c r="AF122" s="51" t="e">
        <f t="shared" si="127"/>
        <v>#NUM!</v>
      </c>
      <c r="AG122" s="51" t="str">
        <f t="shared" si="108"/>
        <v>1-0.365825849226597i</v>
      </c>
      <c r="AH122" s="51">
        <f t="shared" si="128"/>
        <v>1.0648138578936512</v>
      </c>
      <c r="AI122" s="51">
        <f t="shared" si="129"/>
        <v>-0.3507034215590355</v>
      </c>
      <c r="AJ122" s="51" t="str">
        <f t="shared" si="109"/>
        <v>1+0.00121941949742199i</v>
      </c>
      <c r="AK122" s="51">
        <f t="shared" si="130"/>
        <v>1.0000007434916789</v>
      </c>
      <c r="AL122" s="51">
        <f t="shared" si="131"/>
        <v>1.2194188930034714E-3</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23.1103830020012+146.041357981539i</v>
      </c>
      <c r="BG122" s="66">
        <f t="shared" si="147"/>
        <v>43.396932281845679</v>
      </c>
      <c r="BH122" s="63">
        <f t="shared" si="148"/>
        <v>81.00776785247173</v>
      </c>
      <c r="BI122" s="60" t="e">
        <f t="shared" si="152"/>
        <v>#NUM!</v>
      </c>
      <c r="BJ122" s="66" t="e">
        <f t="shared" si="149"/>
        <v>#NUM!</v>
      </c>
      <c r="BK122" s="63" t="e">
        <f t="shared" si="153"/>
        <v>#NUM!</v>
      </c>
      <c r="BL122" s="51">
        <f t="shared" si="150"/>
        <v>43.396932281845679</v>
      </c>
      <c r="BM122" s="63">
        <f t="shared" si="151"/>
        <v>81.00776785247173</v>
      </c>
    </row>
    <row r="123" spans="14:65" x14ac:dyDescent="0.3">
      <c r="N123" s="11">
        <v>5</v>
      </c>
      <c r="O123" s="52">
        <f t="shared" si="154"/>
        <v>112.20184543019634</v>
      </c>
      <c r="P123" s="50" t="str">
        <f t="shared" si="103"/>
        <v>23.3035714285714</v>
      </c>
      <c r="Q123" s="18" t="str">
        <f t="shared" si="104"/>
        <v>1+0.267390734220522i</v>
      </c>
      <c r="R123" s="18">
        <f t="shared" si="116"/>
        <v>1.0351317813433176</v>
      </c>
      <c r="S123" s="18">
        <f t="shared" si="117"/>
        <v>0.26127826648623059</v>
      </c>
      <c r="T123" s="18" t="str">
        <f t="shared" si="105"/>
        <v>1+0.00124782342636244i</v>
      </c>
      <c r="U123" s="18">
        <f t="shared" si="118"/>
        <v>1.0000007785313487</v>
      </c>
      <c r="V123" s="18">
        <f t="shared" si="119"/>
        <v>1.2478227787163564E-3</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21.7409345802182-5.84411459050971i</v>
      </c>
      <c r="AD123" s="66">
        <f t="shared" si="125"/>
        <v>27.048553827590851</v>
      </c>
      <c r="AE123" s="63">
        <f t="shared" si="126"/>
        <v>-15.045844575719411</v>
      </c>
      <c r="AF123" s="51" t="e">
        <f t="shared" si="127"/>
        <v>#NUM!</v>
      </c>
      <c r="AG123" s="51" t="str">
        <f t="shared" si="108"/>
        <v>1-0.374347027908732i</v>
      </c>
      <c r="AH123" s="51">
        <f t="shared" si="128"/>
        <v>1.0677713693970732</v>
      </c>
      <c r="AI123" s="51">
        <f t="shared" si="129"/>
        <v>-0.358198078728858</v>
      </c>
      <c r="AJ123" s="51" t="str">
        <f t="shared" si="109"/>
        <v>1+0.00124782342636244i</v>
      </c>
      <c r="AK123" s="51">
        <f t="shared" si="130"/>
        <v>1.0000007785313487</v>
      </c>
      <c r="AL123" s="51">
        <f t="shared" si="131"/>
        <v>1.2478227787163564E-3</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23.0422074643254+142.461984776325i</v>
      </c>
      <c r="BG123" s="66">
        <f t="shared" si="147"/>
        <v>43.186133802340443</v>
      </c>
      <c r="BH123" s="63">
        <f t="shared" si="148"/>
        <v>80.812384231895038</v>
      </c>
      <c r="BI123" s="60" t="e">
        <f t="shared" si="152"/>
        <v>#NUM!</v>
      </c>
      <c r="BJ123" s="66" t="e">
        <f t="shared" si="149"/>
        <v>#NUM!</v>
      </c>
      <c r="BK123" s="63" t="e">
        <f t="shared" si="153"/>
        <v>#NUM!</v>
      </c>
      <c r="BL123" s="51">
        <f t="shared" si="150"/>
        <v>43.186133802340443</v>
      </c>
      <c r="BM123" s="63">
        <f t="shared" si="151"/>
        <v>80.812384231895038</v>
      </c>
    </row>
    <row r="124" spans="14:65" x14ac:dyDescent="0.3">
      <c r="N124" s="11">
        <v>6</v>
      </c>
      <c r="O124" s="52">
        <f t="shared" si="154"/>
        <v>114.81536214968835</v>
      </c>
      <c r="P124" s="50" t="str">
        <f t="shared" si="103"/>
        <v>23.3035714285714</v>
      </c>
      <c r="Q124" s="18" t="str">
        <f t="shared" si="104"/>
        <v>1+0.273619064528666i</v>
      </c>
      <c r="R124" s="18">
        <f t="shared" si="116"/>
        <v>1.0367581166663429</v>
      </c>
      <c r="S124" s="18">
        <f t="shared" si="117"/>
        <v>0.26708191346641247</v>
      </c>
      <c r="T124" s="18" t="str">
        <f t="shared" si="105"/>
        <v>1+0.00127688896780044i</v>
      </c>
      <c r="U124" s="18">
        <f t="shared" si="118"/>
        <v>1.0000008152223856</v>
      </c>
      <c r="V124" s="18">
        <f t="shared" si="119"/>
        <v>1.2768882738351888E-3</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21.6724193320932-5.96149442956082i</v>
      </c>
      <c r="AD124" s="66">
        <f t="shared" si="125"/>
        <v>27.034918602538514</v>
      </c>
      <c r="AE124" s="63">
        <f t="shared" si="126"/>
        <v>-15.38013239082345</v>
      </c>
      <c r="AF124" s="51" t="e">
        <f t="shared" si="127"/>
        <v>#NUM!</v>
      </c>
      <c r="AG124" s="51" t="str">
        <f t="shared" si="108"/>
        <v>1-0.383066690340134i</v>
      </c>
      <c r="AH124" s="51">
        <f t="shared" si="128"/>
        <v>1.0708595095754363</v>
      </c>
      <c r="AI124" s="51">
        <f t="shared" si="129"/>
        <v>-0.36582401395559916</v>
      </c>
      <c r="AJ124" s="51" t="str">
        <f t="shared" si="109"/>
        <v>1+0.00127688896780044i</v>
      </c>
      <c r="AK124" s="51">
        <f t="shared" si="130"/>
        <v>1.0000008152223856</v>
      </c>
      <c r="AL124" s="51">
        <f t="shared" si="131"/>
        <v>1.2768882738351888E-3</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22.9712564264611+138.959745790599i</v>
      </c>
      <c r="BG124" s="66">
        <f t="shared" si="147"/>
        <v>42.974867114667546</v>
      </c>
      <c r="BH124" s="63">
        <f t="shared" si="148"/>
        <v>80.613396721518782</v>
      </c>
      <c r="BI124" s="60" t="e">
        <f t="shared" si="152"/>
        <v>#NUM!</v>
      </c>
      <c r="BJ124" s="66" t="e">
        <f t="shared" si="149"/>
        <v>#NUM!</v>
      </c>
      <c r="BK124" s="63" t="e">
        <f t="shared" si="153"/>
        <v>#NUM!</v>
      </c>
      <c r="BL124" s="51">
        <f t="shared" si="150"/>
        <v>42.974867114667546</v>
      </c>
      <c r="BM124" s="63">
        <f t="shared" si="151"/>
        <v>80.613396721518782</v>
      </c>
    </row>
    <row r="125" spans="14:65" x14ac:dyDescent="0.3">
      <c r="N125" s="11">
        <v>7</v>
      </c>
      <c r="O125" s="52">
        <f t="shared" si="154"/>
        <v>117.48975549395293</v>
      </c>
      <c r="P125" s="50" t="str">
        <f t="shared" si="103"/>
        <v>23.3035714285714</v>
      </c>
      <c r="Q125" s="18" t="str">
        <f t="shared" si="104"/>
        <v>1+0.279992471286599i</v>
      </c>
      <c r="R125" s="18">
        <f t="shared" si="116"/>
        <v>1.0384583689186471</v>
      </c>
      <c r="S125" s="18">
        <f t="shared" si="117"/>
        <v>0.27300172169936088</v>
      </c>
      <c r="T125" s="18" t="str">
        <f t="shared" si="105"/>
        <v>1+0.0013066315326708i</v>
      </c>
      <c r="U125" s="18">
        <f t="shared" si="118"/>
        <v>1.0000008536426168</v>
      </c>
      <c r="V125" s="18">
        <f t="shared" si="119"/>
        <v>1.3066307890736706E-3</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21.6011339733857-6.08039611072263i</v>
      </c>
      <c r="AD125" s="66">
        <f t="shared" si="125"/>
        <v>27.020686509810549</v>
      </c>
      <c r="AE125" s="63">
        <f t="shared" si="126"/>
        <v>-15.721116828616674</v>
      </c>
      <c r="AF125" s="51" t="e">
        <f t="shared" si="127"/>
        <v>#NUM!</v>
      </c>
      <c r="AG125" s="51" t="str">
        <f t="shared" si="108"/>
        <v>1-0.39198945980124i</v>
      </c>
      <c r="AH125" s="51">
        <f t="shared" si="128"/>
        <v>1.07408367299539</v>
      </c>
      <c r="AI125" s="51">
        <f t="shared" si="129"/>
        <v>-0.37358172172177151</v>
      </c>
      <c r="AJ125" s="51" t="str">
        <f t="shared" si="109"/>
        <v>1+0.0013066315326708i</v>
      </c>
      <c r="AK125" s="51">
        <f t="shared" si="130"/>
        <v>1.0000008536426168</v>
      </c>
      <c r="AL125" s="51">
        <f t="shared" si="131"/>
        <v>1.3066307890736706E-3</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22.8974367936032+135.532882377419i</v>
      </c>
      <c r="BG125" s="66">
        <f t="shared" si="147"/>
        <v>42.763113793552833</v>
      </c>
      <c r="BH125" s="63">
        <f t="shared" si="148"/>
        <v>80.410782337710103</v>
      </c>
      <c r="BI125" s="60" t="e">
        <f t="shared" si="152"/>
        <v>#NUM!</v>
      </c>
      <c r="BJ125" s="66" t="e">
        <f t="shared" si="149"/>
        <v>#NUM!</v>
      </c>
      <c r="BK125" s="63" t="e">
        <f t="shared" si="153"/>
        <v>#NUM!</v>
      </c>
      <c r="BL125" s="51">
        <f t="shared" si="150"/>
        <v>42.763113793552833</v>
      </c>
      <c r="BM125" s="63">
        <f t="shared" si="151"/>
        <v>80.410782337710103</v>
      </c>
    </row>
    <row r="126" spans="14:65" x14ac:dyDescent="0.3">
      <c r="N126" s="11">
        <v>8</v>
      </c>
      <c r="O126" s="52">
        <f t="shared" si="154"/>
        <v>120.22644346174135</v>
      </c>
      <c r="P126" s="50" t="str">
        <f t="shared" si="103"/>
        <v>23.3035714285714</v>
      </c>
      <c r="Q126" s="18" t="str">
        <f t="shared" si="104"/>
        <v>1+0.286514333758948i</v>
      </c>
      <c r="R126" s="18">
        <f t="shared" si="116"/>
        <v>1.0402357730098182</v>
      </c>
      <c r="S126" s="18">
        <f t="shared" si="117"/>
        <v>0.27903916964710329</v>
      </c>
      <c r="T126" s="18" t="str">
        <f t="shared" si="105"/>
        <v>1+0.00133706689087509i</v>
      </c>
      <c r="U126" s="18">
        <f t="shared" si="118"/>
        <v>1.0000008938735359</v>
      </c>
      <c r="V126" s="18">
        <f t="shared" si="119"/>
        <v>1.337066094096449E-3</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21.5269873022109-6.20078264756958i</v>
      </c>
      <c r="AD126" s="66">
        <f t="shared" si="125"/>
        <v>27.005833505029528</v>
      </c>
      <c r="AE126" s="63">
        <f t="shared" si="126"/>
        <v>-16.068883555433288</v>
      </c>
      <c r="AF126" s="51" t="e">
        <f t="shared" si="127"/>
        <v>#NUM!</v>
      </c>
      <c r="AG126" s="51" t="str">
        <f t="shared" si="108"/>
        <v>1-0.401120067262528i</v>
      </c>
      <c r="AH126" s="51">
        <f t="shared" si="128"/>
        <v>1.0774494458491755</v>
      </c>
      <c r="AI126" s="51">
        <f t="shared" si="129"/>
        <v>-0.38147157924872543</v>
      </c>
      <c r="AJ126" s="51" t="str">
        <f t="shared" si="109"/>
        <v>1+0.00133706689087509i</v>
      </c>
      <c r="AK126" s="51">
        <f t="shared" si="130"/>
        <v>1.0000008938735359</v>
      </c>
      <c r="AL126" s="51">
        <f t="shared" si="131"/>
        <v>1.337066094096449E-3</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22.8206541210067+132.179681153417i</v>
      </c>
      <c r="BG126" s="66">
        <f t="shared" si="147"/>
        <v>42.550854857296159</v>
      </c>
      <c r="BH126" s="63">
        <f t="shared" si="148"/>
        <v>80.204521167875924</v>
      </c>
      <c r="BI126" s="60" t="e">
        <f t="shared" si="152"/>
        <v>#NUM!</v>
      </c>
      <c r="BJ126" s="66" t="e">
        <f t="shared" si="149"/>
        <v>#NUM!</v>
      </c>
      <c r="BK126" s="63" t="e">
        <f t="shared" si="153"/>
        <v>#NUM!</v>
      </c>
      <c r="BL126" s="51">
        <f t="shared" si="150"/>
        <v>42.550854857296159</v>
      </c>
      <c r="BM126" s="63">
        <f t="shared" si="151"/>
        <v>80.204521167875924</v>
      </c>
    </row>
    <row r="127" spans="14:65" x14ac:dyDescent="0.3">
      <c r="N127" s="11">
        <v>9</v>
      </c>
      <c r="O127" s="52">
        <f t="shared" si="154"/>
        <v>123.02687708123821</v>
      </c>
      <c r="P127" s="50" t="str">
        <f t="shared" si="103"/>
        <v>23.3035714285714</v>
      </c>
      <c r="Q127" s="18" t="str">
        <f t="shared" si="104"/>
        <v>1+0.29318810992352i</v>
      </c>
      <c r="R127" s="18">
        <f t="shared" si="116"/>
        <v>1.0420936943483183</v>
      </c>
      <c r="S127" s="18">
        <f t="shared" si="117"/>
        <v>0.28519569719672877</v>
      </c>
      <c r="T127" s="18" t="str">
        <f t="shared" si="105"/>
        <v>1+0.0013682111796431i</v>
      </c>
      <c r="U127" s="18">
        <f t="shared" si="118"/>
        <v>1.000000936000478</v>
      </c>
      <c r="V127" s="18">
        <f t="shared" si="119"/>
        <v>1.3682103258794473E-3</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21.4498869603769-6.322612527776i</v>
      </c>
      <c r="AD127" s="66">
        <f t="shared" si="125"/>
        <v>26.990334759961318</v>
      </c>
      <c r="AE127" s="63">
        <f t="shared" si="126"/>
        <v>-16.423516049709249</v>
      </c>
      <c r="AF127" s="51" t="e">
        <f t="shared" si="127"/>
        <v>#NUM!</v>
      </c>
      <c r="AG127" s="51" t="str">
        <f t="shared" si="108"/>
        <v>1-0.410463353892929i</v>
      </c>
      <c r="AH127" s="51">
        <f t="shared" si="128"/>
        <v>1.0809626103103807</v>
      </c>
      <c r="AI127" s="51">
        <f t="shared" si="129"/>
        <v>-0.38949383967001544</v>
      </c>
      <c r="AJ127" s="51" t="str">
        <f t="shared" si="109"/>
        <v>1+0.0013682111796431i</v>
      </c>
      <c r="AK127" s="51">
        <f t="shared" si="130"/>
        <v>1.000000936000478</v>
      </c>
      <c r="AL127" s="51">
        <f t="shared" si="131"/>
        <v>1.3682103258794473E-3</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22.740812766458+128.89847329393i</v>
      </c>
      <c r="BG127" s="66">
        <f t="shared" si="147"/>
        <v>42.338070766409203</v>
      </c>
      <c r="BH127" s="63">
        <f t="shared" si="148"/>
        <v>79.994596619740491</v>
      </c>
      <c r="BI127" s="60" t="e">
        <f t="shared" si="152"/>
        <v>#NUM!</v>
      </c>
      <c r="BJ127" s="66" t="e">
        <f t="shared" si="149"/>
        <v>#NUM!</v>
      </c>
      <c r="BK127" s="63" t="e">
        <f t="shared" si="153"/>
        <v>#NUM!</v>
      </c>
      <c r="BL127" s="51">
        <f t="shared" si="150"/>
        <v>42.338070766409203</v>
      </c>
      <c r="BM127" s="63">
        <f t="shared" si="151"/>
        <v>79.994596619740491</v>
      </c>
    </row>
    <row r="128" spans="14:65" x14ac:dyDescent="0.3">
      <c r="N128" s="11">
        <v>10</v>
      </c>
      <c r="O128" s="52">
        <f t="shared" si="154"/>
        <v>125.89254117941677</v>
      </c>
      <c r="P128" s="50" t="str">
        <f t="shared" si="103"/>
        <v>23.3035714285714</v>
      </c>
      <c r="Q128" s="18" t="str">
        <f t="shared" si="104"/>
        <v>1+0.300017338304778i</v>
      </c>
      <c r="R128" s="18">
        <f t="shared" si="116"/>
        <v>1.0440356331483536</v>
      </c>
      <c r="S128" s="18">
        <f t="shared" si="117"/>
        <v>0.29147270110359036</v>
      </c>
      <c r="T128" s="18" t="str">
        <f t="shared" si="105"/>
        <v>1+0.00140008091208896i</v>
      </c>
      <c r="U128" s="18">
        <f t="shared" si="118"/>
        <v>1.0000009801127998</v>
      </c>
      <c r="V128" s="18">
        <f t="shared" si="119"/>
        <v>1.4000799972647725E-3</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21.3697395987504-6.44583949592827i</v>
      </c>
      <c r="AD128" s="66">
        <f t="shared" si="125"/>
        <v>26.974164653336693</v>
      </c>
      <c r="AE128" s="63">
        <f t="shared" si="126"/>
        <v>-16.785095341416234</v>
      </c>
      <c r="AF128" s="51" t="e">
        <f t="shared" si="127"/>
        <v>#NUM!</v>
      </c>
      <c r="AG128" s="51" t="str">
        <f t="shared" si="108"/>
        <v>1-0.420024273626689i</v>
      </c>
      <c r="AH128" s="51">
        <f t="shared" si="128"/>
        <v>1.0846291488041557</v>
      </c>
      <c r="AI128" s="51">
        <f t="shared" si="129"/>
        <v>-0.39764862516402588</v>
      </c>
      <c r="AJ128" s="51" t="str">
        <f t="shared" si="109"/>
        <v>1+0.00140008091208896i</v>
      </c>
      <c r="AK128" s="51">
        <f t="shared" si="130"/>
        <v>1.0000009801127998</v>
      </c>
      <c r="AL128" s="51">
        <f t="shared" si="131"/>
        <v>1.4000799972647725E-3</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22.6578160615158+125.687633850275i</v>
      </c>
      <c r="BG128" s="66">
        <f t="shared" si="147"/>
        <v>42.124741423919275</v>
      </c>
      <c r="BH128" s="63">
        <f t="shared" si="148"/>
        <v>79.780995681175654</v>
      </c>
      <c r="BI128" s="60" t="e">
        <f t="shared" si="152"/>
        <v>#NUM!</v>
      </c>
      <c r="BJ128" s="66" t="e">
        <f t="shared" si="149"/>
        <v>#NUM!</v>
      </c>
      <c r="BK128" s="63" t="e">
        <f t="shared" si="153"/>
        <v>#NUM!</v>
      </c>
      <c r="BL128" s="51">
        <f t="shared" si="150"/>
        <v>42.124741423919275</v>
      </c>
      <c r="BM128" s="63">
        <f t="shared" si="151"/>
        <v>79.780995681175654</v>
      </c>
    </row>
    <row r="129" spans="14:65" x14ac:dyDescent="0.3">
      <c r="N129" s="11">
        <v>11</v>
      </c>
      <c r="O129" s="52">
        <f t="shared" si="154"/>
        <v>128.82495516931343</v>
      </c>
      <c r="P129" s="50" t="str">
        <f t="shared" si="103"/>
        <v>23.3035714285714</v>
      </c>
      <c r="Q129" s="18" t="str">
        <f t="shared" si="104"/>
        <v>1+0.307005639850003i</v>
      </c>
      <c r="R129" s="18">
        <f t="shared" si="116"/>
        <v>1.0460652287977599</v>
      </c>
      <c r="S129" s="18">
        <f t="shared" si="117"/>
        <v>0.29787153022092167</v>
      </c>
      <c r="T129" s="18" t="str">
        <f t="shared" si="105"/>
        <v>1+0.00143269298596668i</v>
      </c>
      <c r="U129" s="18">
        <f t="shared" si="118"/>
        <v>1.0000010263040693</v>
      </c>
      <c r="V129" s="18">
        <f t="shared" si="119"/>
        <v>1.4326920057149565E-3</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21.2864510617039-6.57041233650179i</v>
      </c>
      <c r="AD129" s="66">
        <f t="shared" si="125"/>
        <v>26.957296763166191</v>
      </c>
      <c r="AE129" s="63">
        <f t="shared" si="126"/>
        <v>-17.153699739269797</v>
      </c>
      <c r="AF129" s="51" t="e">
        <f t="shared" si="127"/>
        <v>#NUM!</v>
      </c>
      <c r="AG129" s="51" t="str">
        <f t="shared" si="108"/>
        <v>1-0.429807895790005i</v>
      </c>
      <c r="AH129" s="51">
        <f t="shared" si="128"/>
        <v>1.0884552481767138</v>
      </c>
      <c r="AI129" s="51">
        <f t="shared" si="129"/>
        <v>-0.40593592007665841</v>
      </c>
      <c r="AJ129" s="51" t="str">
        <f t="shared" si="109"/>
        <v>1+0.00143269298596668i</v>
      </c>
      <c r="AK129" s="51">
        <f t="shared" si="130"/>
        <v>1.0000010263040693</v>
      </c>
      <c r="AL129" s="51">
        <f t="shared" si="131"/>
        <v>1.4326920057149565E-3</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22.5715665025105+122.545581087527i</v>
      </c>
      <c r="BG129" s="66">
        <f t="shared" si="147"/>
        <v>41.910846177506627</v>
      </c>
      <c r="BH129" s="63">
        <f t="shared" si="148"/>
        <v>79.563709190470092</v>
      </c>
      <c r="BI129" s="60" t="e">
        <f t="shared" si="152"/>
        <v>#NUM!</v>
      </c>
      <c r="BJ129" s="66" t="e">
        <f t="shared" si="149"/>
        <v>#NUM!</v>
      </c>
      <c r="BK129" s="63" t="e">
        <f t="shared" si="153"/>
        <v>#NUM!</v>
      </c>
      <c r="BL129" s="51">
        <f t="shared" si="150"/>
        <v>41.910846177506627</v>
      </c>
      <c r="BM129" s="63">
        <f t="shared" si="151"/>
        <v>79.563709190470092</v>
      </c>
    </row>
    <row r="130" spans="14:65" x14ac:dyDescent="0.3">
      <c r="N130" s="11">
        <v>12</v>
      </c>
      <c r="O130" s="52">
        <f t="shared" si="154"/>
        <v>131.82567385564084</v>
      </c>
      <c r="P130" s="50" t="str">
        <f t="shared" si="103"/>
        <v>23.3035714285714</v>
      </c>
      <c r="Q130" s="18" t="str">
        <f t="shared" si="104"/>
        <v>1+0.314156719849178i</v>
      </c>
      <c r="R130" s="18">
        <f t="shared" si="116"/>
        <v>1.0481862642805404</v>
      </c>
      <c r="S130" s="18">
        <f t="shared" si="117"/>
        <v>0.30439348051668613</v>
      </c>
      <c r="T130" s="18" t="str">
        <f t="shared" si="105"/>
        <v>1+0.0014660646926295i</v>
      </c>
      <c r="U130" s="18">
        <f t="shared" si="118"/>
        <v>1.0000010746722641</v>
      </c>
      <c r="V130" s="18">
        <f t="shared" si="119"/>
        <v>1.4660636422709151E-3</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21.1999265915694-6.69627465828477i</v>
      </c>
      <c r="AD130" s="66">
        <f t="shared" si="125"/>
        <v>26.939703860715309</v>
      </c>
      <c r="AE130" s="63">
        <f t="shared" si="126"/>
        <v>-17.529404545759295</v>
      </c>
      <c r="AF130" s="51" t="e">
        <f t="shared" si="127"/>
        <v>#NUM!</v>
      </c>
      <c r="AG130" s="51" t="str">
        <f t="shared" si="108"/>
        <v>1-0.43981940778885i</v>
      </c>
      <c r="AH130" s="51">
        <f t="shared" si="128"/>
        <v>1.0924473037486682</v>
      </c>
      <c r="AI130" s="51">
        <f t="shared" si="129"/>
        <v>-0.41435556406786889</v>
      </c>
      <c r="AJ130" s="51" t="str">
        <f t="shared" si="109"/>
        <v>1+0.0014660646926295i</v>
      </c>
      <c r="AK130" s="51">
        <f t="shared" si="130"/>
        <v>1.0000010746722641</v>
      </c>
      <c r="AL130" s="51">
        <f t="shared" si="131"/>
        <v>1.4660636422709151E-3</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22.4819659622619+119.470775840976i</v>
      </c>
      <c r="BG130" s="66">
        <f t="shared" si="147"/>
        <v>41.696363823646848</v>
      </c>
      <c r="BH130" s="63">
        <f t="shared" si="148"/>
        <v>79.342732116841177</v>
      </c>
      <c r="BI130" s="60" t="e">
        <f t="shared" si="152"/>
        <v>#NUM!</v>
      </c>
      <c r="BJ130" s="66" t="e">
        <f t="shared" si="149"/>
        <v>#NUM!</v>
      </c>
      <c r="BK130" s="63" t="e">
        <f t="shared" si="153"/>
        <v>#NUM!</v>
      </c>
      <c r="BL130" s="51">
        <f t="shared" si="150"/>
        <v>41.696363823646848</v>
      </c>
      <c r="BM130" s="63">
        <f t="shared" si="151"/>
        <v>79.342732116841177</v>
      </c>
    </row>
    <row r="131" spans="14:65" x14ac:dyDescent="0.3">
      <c r="N131" s="11">
        <v>13</v>
      </c>
      <c r="O131" s="52">
        <f t="shared" si="154"/>
        <v>134.89628825916537</v>
      </c>
      <c r="P131" s="50" t="str">
        <f t="shared" si="103"/>
        <v>23.3035714285714</v>
      </c>
      <c r="Q131" s="18" t="str">
        <f t="shared" si="104"/>
        <v>1+0.321474369899571i</v>
      </c>
      <c r="R131" s="18">
        <f t="shared" si="116"/>
        <v>1.0504026706469887</v>
      </c>
      <c r="S131" s="18">
        <f t="shared" si="117"/>
        <v>0.31103978987973241</v>
      </c>
      <c r="T131" s="18" t="str">
        <f t="shared" si="105"/>
        <v>1+0.001500213726198i</v>
      </c>
      <c r="U131" s="18">
        <f t="shared" si="118"/>
        <v>1.000001125319979</v>
      </c>
      <c r="V131" s="18">
        <f t="shared" si="119"/>
        <v>1.5002126007185672E-3</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21.1100710539757-6.82336468167123i</v>
      </c>
      <c r="AD131" s="66">
        <f t="shared" si="125"/>
        <v>26.921357906314363</v>
      </c>
      <c r="AE131" s="63">
        <f t="shared" si="126"/>
        <v>-17.91228176011856</v>
      </c>
      <c r="AF131" s="51" t="e">
        <f t="shared" si="127"/>
        <v>#NUM!</v>
      </c>
      <c r="AG131" s="51" t="str">
        <f t="shared" si="108"/>
        <v>1-0.450064117859401i</v>
      </c>
      <c r="AH131" s="51">
        <f t="shared" si="128"/>
        <v>1.0966119232365481</v>
      </c>
      <c r="AI131" s="51">
        <f t="shared" si="129"/>
        <v>-0.4229072453187368</v>
      </c>
      <c r="AJ131" s="51" t="str">
        <f t="shared" si="109"/>
        <v>1+0.001500213726198i</v>
      </c>
      <c r="AK131" s="51">
        <f t="shared" si="130"/>
        <v>1.000001125319979</v>
      </c>
      <c r="AL131" s="51">
        <f t="shared" si="131"/>
        <v>1.5002126007185672E-3</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22.3889159234215+116.461720889345i</v>
      </c>
      <c r="BG131" s="66">
        <f t="shared" si="147"/>
        <v>41.481272613939595</v>
      </c>
      <c r="BH131" s="63">
        <f t="shared" si="148"/>
        <v>79.118063850912932</v>
      </c>
      <c r="BI131" s="60" t="e">
        <f t="shared" si="152"/>
        <v>#NUM!</v>
      </c>
      <c r="BJ131" s="66" t="e">
        <f t="shared" si="149"/>
        <v>#NUM!</v>
      </c>
      <c r="BK131" s="63" t="e">
        <f t="shared" si="153"/>
        <v>#NUM!</v>
      </c>
      <c r="BL131" s="51">
        <f t="shared" si="150"/>
        <v>41.481272613939595</v>
      </c>
      <c r="BM131" s="63">
        <f t="shared" si="151"/>
        <v>79.118063850912932</v>
      </c>
    </row>
    <row r="132" spans="14:65" x14ac:dyDescent="0.3">
      <c r="N132" s="11">
        <v>14</v>
      </c>
      <c r="O132" s="52">
        <f t="shared" si="154"/>
        <v>138.0384264602886</v>
      </c>
      <c r="P132" s="50" t="str">
        <f t="shared" si="103"/>
        <v>23.3035714285714</v>
      </c>
      <c r="Q132" s="18" t="str">
        <f t="shared" si="104"/>
        <v>1+0.328962469916102i</v>
      </c>
      <c r="R132" s="18">
        <f t="shared" si="116"/>
        <v>1.0527185315236463</v>
      </c>
      <c r="S132" s="18">
        <f t="shared" si="117"/>
        <v>0.31781163271887575</v>
      </c>
      <c r="T132" s="18" t="str">
        <f t="shared" si="105"/>
        <v>1+0.00153515819294181i</v>
      </c>
      <c r="U132" s="18">
        <f t="shared" si="118"/>
        <v>1.0000011783546443</v>
      </c>
      <c r="V132" s="18">
        <f t="shared" si="119"/>
        <v>1.5351569869689471E-3</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21.0167891848856-6.95161503039515i</v>
      </c>
      <c r="AD132" s="66">
        <f t="shared" si="125"/>
        <v>26.902230047185448</v>
      </c>
      <c r="AE132" s="63">
        <f t="shared" si="126"/>
        <v>-18.302399769444918</v>
      </c>
      <c r="AF132" s="51" t="e">
        <f t="shared" si="127"/>
        <v>#NUM!</v>
      </c>
      <c r="AG132" s="51" t="str">
        <f t="shared" si="108"/>
        <v>1-0.460547457882544i</v>
      </c>
      <c r="AH132" s="51">
        <f t="shared" si="128"/>
        <v>1.1009559305267735</v>
      </c>
      <c r="AI132" s="51">
        <f t="shared" si="129"/>
        <v>-0.43159049383864939</v>
      </c>
      <c r="AJ132" s="51" t="str">
        <f t="shared" si="109"/>
        <v>1+0.00153515819294181i</v>
      </c>
      <c r="AK132" s="51">
        <f t="shared" si="130"/>
        <v>1.0000011783546443</v>
      </c>
      <c r="AL132" s="51">
        <f t="shared" si="131"/>
        <v>1.5351569869689471E-3</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22.2923177342871+113.516960342698i</v>
      </c>
      <c r="BG132" s="66">
        <f t="shared" si="147"/>
        <v>41.265550263811576</v>
      </c>
      <c r="BH132" s="63">
        <f t="shared" si="148"/>
        <v>78.889708504787251</v>
      </c>
      <c r="BI132" s="60" t="e">
        <f t="shared" si="152"/>
        <v>#NUM!</v>
      </c>
      <c r="BJ132" s="66" t="e">
        <f t="shared" si="149"/>
        <v>#NUM!</v>
      </c>
      <c r="BK132" s="63" t="e">
        <f t="shared" si="153"/>
        <v>#NUM!</v>
      </c>
      <c r="BL132" s="51">
        <f t="shared" si="150"/>
        <v>41.265550263811576</v>
      </c>
      <c r="BM132" s="63">
        <f t="shared" si="151"/>
        <v>78.889708504787251</v>
      </c>
    </row>
    <row r="133" spans="14:65" x14ac:dyDescent="0.3">
      <c r="N133" s="11">
        <v>15</v>
      </c>
      <c r="O133" s="52">
        <f t="shared" si="154"/>
        <v>141.25375446227542</v>
      </c>
      <c r="P133" s="50" t="str">
        <f t="shared" si="103"/>
        <v>23.3035714285714</v>
      </c>
      <c r="Q133" s="18" t="str">
        <f t="shared" si="104"/>
        <v>1+0.336624990188516i</v>
      </c>
      <c r="R133" s="18">
        <f t="shared" si="116"/>
        <v>1.0551380876546057</v>
      </c>
      <c r="S133" s="18">
        <f t="shared" si="117"/>
        <v>0.32471011436006703</v>
      </c>
      <c r="T133" s="18" t="str">
        <f t="shared" si="105"/>
        <v>1+0.00157091662087974i</v>
      </c>
      <c r="U133" s="18">
        <f t="shared" si="118"/>
        <v>1.0000012338887536</v>
      </c>
      <c r="V133" s="18">
        <f t="shared" si="119"/>
        <v>1.5709153286566219E-3</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20.9199858600672-7.08095252942621i</v>
      </c>
      <c r="AD133" s="66">
        <f t="shared" si="125"/>
        <v>26.88229061747429</v>
      </c>
      <c r="AE133" s="63">
        <f t="shared" si="126"/>
        <v>-18.699823028262998</v>
      </c>
      <c r="AF133" s="51" t="e">
        <f t="shared" si="127"/>
        <v>#NUM!</v>
      </c>
      <c r="AG133" s="51" t="str">
        <f t="shared" si="108"/>
        <v>1-0.471274986263923i</v>
      </c>
      <c r="AH133" s="51">
        <f t="shared" si="128"/>
        <v>1.1054863692864154</v>
      </c>
      <c r="AI133" s="51">
        <f t="shared" si="129"/>
        <v>-0.44040467491494178</v>
      </c>
      <c r="AJ133" s="51" t="str">
        <f t="shared" si="109"/>
        <v>1+0.00157091662087974i</v>
      </c>
      <c r="AK133" s="51">
        <f t="shared" si="130"/>
        <v>1.0000012338887536</v>
      </c>
      <c r="AL133" s="51">
        <f t="shared" si="131"/>
        <v>1.5709153286566219E-3</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22.1920728878472+110.635079042795i</v>
      </c>
      <c r="BG133" s="66">
        <f t="shared" si="147"/>
        <v>41.049173963784888</v>
      </c>
      <c r="BH133" s="63">
        <f t="shared" si="148"/>
        <v>78.657675221233859</v>
      </c>
      <c r="BI133" s="60" t="e">
        <f t="shared" si="152"/>
        <v>#NUM!</v>
      </c>
      <c r="BJ133" s="66" t="e">
        <f t="shared" si="149"/>
        <v>#NUM!</v>
      </c>
      <c r="BK133" s="63" t="e">
        <f t="shared" si="153"/>
        <v>#NUM!</v>
      </c>
      <c r="BL133" s="51">
        <f t="shared" si="150"/>
        <v>41.049173963784888</v>
      </c>
      <c r="BM133" s="63">
        <f t="shared" si="151"/>
        <v>78.657675221233859</v>
      </c>
    </row>
    <row r="134" spans="14:65" x14ac:dyDescent="0.3">
      <c r="N134" s="11">
        <v>16</v>
      </c>
      <c r="O134" s="52">
        <f t="shared" si="154"/>
        <v>144.54397707459285</v>
      </c>
      <c r="P134" s="50" t="str">
        <f t="shared" si="103"/>
        <v>23.3035714285714</v>
      </c>
      <c r="Q134" s="18" t="str">
        <f t="shared" si="104"/>
        <v>1+0.344465993486486i</v>
      </c>
      <c r="R134" s="18">
        <f t="shared" si="116"/>
        <v>1.0576657414649639</v>
      </c>
      <c r="S134" s="18">
        <f t="shared" si="117"/>
        <v>0.33173626524864569</v>
      </c>
      <c r="T134" s="18" t="str">
        <f t="shared" si="105"/>
        <v>1+0.0016075079696036i</v>
      </c>
      <c r="U134" s="18">
        <f t="shared" si="118"/>
        <v>1.0000012920401014</v>
      </c>
      <c r="V134" s="18">
        <f t="shared" si="119"/>
        <v>1.607506584961679E-3</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20.8195663876388-7.21129801090268i</v>
      </c>
      <c r="AD134" s="66">
        <f t="shared" si="125"/>
        <v>26.861509140682259</v>
      </c>
      <c r="AE134" s="63">
        <f t="shared" si="126"/>
        <v>-19.104611726934198</v>
      </c>
      <c r="AF134" s="51" t="e">
        <f t="shared" si="127"/>
        <v>#NUM!</v>
      </c>
      <c r="AG134" s="51" t="str">
        <f t="shared" si="108"/>
        <v>1-0.482252390881082i</v>
      </c>
      <c r="AH134" s="51">
        <f t="shared" si="128"/>
        <v>1.1102105063953052</v>
      </c>
      <c r="AI134" s="51">
        <f t="shared" si="129"/>
        <v>-0.44934898275002788</v>
      </c>
      <c r="AJ134" s="51" t="str">
        <f t="shared" si="109"/>
        <v>1+0.0016075079696036i</v>
      </c>
      <c r="AK134" s="51">
        <f t="shared" si="130"/>
        <v>1.0000012920401014</v>
      </c>
      <c r="AL134" s="51">
        <f t="shared" si="131"/>
        <v>1.607506584961679E-3</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22.0880833247203+107.814701973547i</v>
      </c>
      <c r="BG134" s="66">
        <f t="shared" si="147"/>
        <v>40.832120393510827</v>
      </c>
      <c r="BH134" s="63">
        <f t="shared" si="148"/>
        <v>78.421978491413171</v>
      </c>
      <c r="BI134" s="60" t="e">
        <f t="shared" si="152"/>
        <v>#NUM!</v>
      </c>
      <c r="BJ134" s="66" t="e">
        <f t="shared" si="149"/>
        <v>#NUM!</v>
      </c>
      <c r="BK134" s="63" t="e">
        <f t="shared" si="153"/>
        <v>#NUM!</v>
      </c>
      <c r="BL134" s="51">
        <f t="shared" si="150"/>
        <v>40.832120393510827</v>
      </c>
      <c r="BM134" s="63">
        <f t="shared" si="151"/>
        <v>78.421978491413171</v>
      </c>
    </row>
    <row r="135" spans="14:65" x14ac:dyDescent="0.3">
      <c r="N135" s="11">
        <v>17</v>
      </c>
      <c r="O135" s="52">
        <f t="shared" si="154"/>
        <v>147.91083881682084</v>
      </c>
      <c r="P135" s="50" t="str">
        <f t="shared" si="103"/>
        <v>23.3035714285714</v>
      </c>
      <c r="Q135" s="18" t="str">
        <f t="shared" si="104"/>
        <v>1+0.352489637213749i</v>
      </c>
      <c r="R135" s="18">
        <f t="shared" si="116"/>
        <v>1.0603060616364881</v>
      </c>
      <c r="S135" s="18">
        <f t="shared" si="117"/>
        <v>0.33889103496555256</v>
      </c>
      <c r="T135" s="18" t="str">
        <f t="shared" si="105"/>
        <v>1+0.00164495164033083i</v>
      </c>
      <c r="U135" s="18">
        <f t="shared" si="118"/>
        <v>1.0000013529320344</v>
      </c>
      <c r="V135" s="18">
        <f t="shared" si="119"/>
        <v>1.6449501566603891E-3</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20.7154368242054-7.34256613012814i</v>
      </c>
      <c r="AD135" s="66">
        <f t="shared" si="125"/>
        <v>26.839854334697041</v>
      </c>
      <c r="AE135" s="63">
        <f t="shared" si="126"/>
        <v>-19.516821449420164</v>
      </c>
      <c r="AF135" s="51" t="e">
        <f t="shared" si="127"/>
        <v>#NUM!</v>
      </c>
      <c r="AG135" s="51" t="str">
        <f t="shared" si="108"/>
        <v>1-0.49348549209925i</v>
      </c>
      <c r="AH135" s="51">
        <f t="shared" si="128"/>
        <v>1.1151358351844134</v>
      </c>
      <c r="AI135" s="51">
        <f t="shared" si="129"/>
        <v>-0.45842243433350549</v>
      </c>
      <c r="AJ135" s="51" t="str">
        <f t="shared" si="109"/>
        <v>1+0.00164495164033083i</v>
      </c>
      <c r="AK135" s="51">
        <f t="shared" si="130"/>
        <v>1.0000013529320344</v>
      </c>
      <c r="AL135" s="51">
        <f t="shared" si="131"/>
        <v>1.6449501566603891E-3</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21.9802517605226+105.054493679039i</v>
      </c>
      <c r="BG135" s="66">
        <f t="shared" si="147"/>
        <v>40.614365738770168</v>
      </c>
      <c r="BH135" s="63">
        <f t="shared" si="148"/>
        <v>78.182638480427741</v>
      </c>
      <c r="BI135" s="60" t="e">
        <f t="shared" si="152"/>
        <v>#NUM!</v>
      </c>
      <c r="BJ135" s="66" t="e">
        <f t="shared" si="149"/>
        <v>#NUM!</v>
      </c>
      <c r="BK135" s="63" t="e">
        <f t="shared" si="153"/>
        <v>#NUM!</v>
      </c>
      <c r="BL135" s="51">
        <f t="shared" si="150"/>
        <v>40.614365738770168</v>
      </c>
      <c r="BM135" s="63">
        <f t="shared" si="151"/>
        <v>78.182638480427741</v>
      </c>
    </row>
    <row r="136" spans="14:65" x14ac:dyDescent="0.3">
      <c r="N136" s="11">
        <v>18</v>
      </c>
      <c r="O136" s="52">
        <f t="shared" si="154"/>
        <v>151.3561248436209</v>
      </c>
      <c r="P136" s="50" t="str">
        <f t="shared" si="103"/>
        <v>23.3035714285714</v>
      </c>
      <c r="Q136" s="18" t="str">
        <f t="shared" si="104"/>
        <v>1+0.360700175612415i</v>
      </c>
      <c r="R136" s="18">
        <f t="shared" si="116"/>
        <v>1.0630637876848346</v>
      </c>
      <c r="S136" s="18">
        <f t="shared" si="117"/>
        <v>0.34617528606845405</v>
      </c>
      <c r="T136" s="18" t="str">
        <f t="shared" si="105"/>
        <v>1+0.00168326748619127i</v>
      </c>
      <c r="U136" s="18">
        <f t="shared" si="118"/>
        <v>1.0000014166937115</v>
      </c>
      <c r="V136" s="18">
        <f t="shared" si="119"/>
        <v>1.6832658964098714E-3</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20.6075043149683-7.47466519381213i</v>
      </c>
      <c r="AD136" s="66">
        <f t="shared" si="125"/>
        <v>26.817294119625767</v>
      </c>
      <c r="AE136" s="63">
        <f t="shared" si="126"/>
        <v>-19.936502821029762</v>
      </c>
      <c r="AF136" s="51" t="e">
        <f t="shared" si="127"/>
        <v>#NUM!</v>
      </c>
      <c r="AG136" s="51" t="str">
        <f t="shared" si="108"/>
        <v>1-0.504980245857382i</v>
      </c>
      <c r="AH136" s="51">
        <f t="shared" si="128"/>
        <v>1.120270078465984</v>
      </c>
      <c r="AI136" s="51">
        <f t="shared" si="129"/>
        <v>-0.46762386359897917</v>
      </c>
      <c r="AJ136" s="51" t="str">
        <f t="shared" si="109"/>
        <v>1+0.00168326748619127i</v>
      </c>
      <c r="AK136" s="51">
        <f t="shared" si="130"/>
        <v>1.0000014166937115</v>
      </c>
      <c r="AL136" s="51">
        <f t="shared" si="131"/>
        <v>1.6832658964098714E-3</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21.8684820380634+102.35315768646i</v>
      </c>
      <c r="BG136" s="66">
        <f t="shared" si="147"/>
        <v>40.395885711645377</v>
      </c>
      <c r="BH136" s="63">
        <f t="shared" si="148"/>
        <v>77.93968135986502</v>
      </c>
      <c r="BI136" s="60" t="e">
        <f t="shared" si="152"/>
        <v>#NUM!</v>
      </c>
      <c r="BJ136" s="66" t="e">
        <f t="shared" si="149"/>
        <v>#NUM!</v>
      </c>
      <c r="BK136" s="63" t="e">
        <f t="shared" si="153"/>
        <v>#NUM!</v>
      </c>
      <c r="BL136" s="51">
        <f t="shared" si="150"/>
        <v>40.395885711645377</v>
      </c>
      <c r="BM136" s="63">
        <f t="shared" si="151"/>
        <v>77.93968135986502</v>
      </c>
    </row>
    <row r="137" spans="14:65" x14ac:dyDescent="0.3">
      <c r="N137" s="11">
        <v>19</v>
      </c>
      <c r="O137" s="52">
        <f t="shared" si="154"/>
        <v>154.8816618912482</v>
      </c>
      <c r="P137" s="50" t="str">
        <f t="shared" si="103"/>
        <v>23.3035714285714</v>
      </c>
      <c r="Q137" s="18" t="str">
        <f t="shared" si="104"/>
        <v>1+0.369101962018621i</v>
      </c>
      <c r="R137" s="18">
        <f t="shared" si="116"/>
        <v>1.0659438345269396</v>
      </c>
      <c r="S137" s="18">
        <f t="shared" si="117"/>
        <v>0.35358978777095124</v>
      </c>
      <c r="T137" s="18" t="str">
        <f t="shared" si="105"/>
        <v>1+0.00172247582275357i</v>
      </c>
      <c r="U137" s="18">
        <f t="shared" si="118"/>
        <v>1.0000014834603796</v>
      </c>
      <c r="V137" s="18">
        <f t="shared" si="119"/>
        <v>1.7224741192722469E-3</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20.4956774580273-7.6074970028805i</v>
      </c>
      <c r="AD137" s="66">
        <f t="shared" si="125"/>
        <v>26.793795628636651</v>
      </c>
      <c r="AE137" s="63">
        <f t="shared" si="126"/>
        <v>-20.363701146901832</v>
      </c>
      <c r="AF137" s="51" t="e">
        <f t="shared" si="127"/>
        <v>#NUM!</v>
      </c>
      <c r="AG137" s="51" t="str">
        <f t="shared" si="108"/>
        <v>1-0.516742746826071i</v>
      </c>
      <c r="AH137" s="51">
        <f t="shared" si="128"/>
        <v>1.1256211913416312</v>
      </c>
      <c r="AI137" s="51">
        <f t="shared" si="129"/>
        <v>-0.47695191591726782</v>
      </c>
      <c r="AJ137" s="51" t="str">
        <f t="shared" si="109"/>
        <v>1+0.00172247582275357i</v>
      </c>
      <c r="AK137" s="51">
        <f t="shared" si="130"/>
        <v>1.0000014834603796</v>
      </c>
      <c r="AL137" s="51">
        <f t="shared" si="131"/>
        <v>1.7224741192722469E-3</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21.7526795045884+99.7094359311279i</v>
      </c>
      <c r="BG137" s="66">
        <f t="shared" si="147"/>
        <v>40.176655574070978</v>
      </c>
      <c r="BH137" s="63">
        <f t="shared" si="148"/>
        <v>77.693139646362198</v>
      </c>
      <c r="BI137" s="60" t="e">
        <f t="shared" si="152"/>
        <v>#NUM!</v>
      </c>
      <c r="BJ137" s="66" t="e">
        <f t="shared" si="149"/>
        <v>#NUM!</v>
      </c>
      <c r="BK137" s="63" t="e">
        <f t="shared" si="153"/>
        <v>#NUM!</v>
      </c>
      <c r="BL137" s="51">
        <f t="shared" si="150"/>
        <v>40.176655574070978</v>
      </c>
      <c r="BM137" s="63">
        <f t="shared" si="151"/>
        <v>77.693139646362198</v>
      </c>
    </row>
    <row r="138" spans="14:65" x14ac:dyDescent="0.3">
      <c r="N138" s="11">
        <v>20</v>
      </c>
      <c r="O138" s="52">
        <f t="shared" si="154"/>
        <v>158.48931924611153</v>
      </c>
      <c r="P138" s="50" t="str">
        <f t="shared" si="103"/>
        <v>23.3035714285714</v>
      </c>
      <c r="Q138" s="18" t="str">
        <f t="shared" si="104"/>
        <v>1+0.377699451170733i</v>
      </c>
      <c r="R138" s="18">
        <f t="shared" si="116"/>
        <v>1.0689512970265169</v>
      </c>
      <c r="S138" s="18">
        <f t="shared" si="117"/>
        <v>0.36113520947540828</v>
      </c>
      <c r="T138" s="18" t="str">
        <f t="shared" si="105"/>
        <v>1+0.00176259743879675i</v>
      </c>
      <c r="U138" s="18">
        <f t="shared" si="118"/>
        <v>1.000001553373659</v>
      </c>
      <c r="V138" s="18">
        <f t="shared" si="119"/>
        <v>1.7625956134837794E-3</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20.3798666929059-7.74095671232336i</v>
      </c>
      <c r="AD138" s="66">
        <f t="shared" si="125"/>
        <v>26.769325222014942</v>
      </c>
      <c r="AE138" s="63">
        <f t="shared" si="126"/>
        <v>-20.798456042117728</v>
      </c>
      <c r="AF138" s="51" t="e">
        <f t="shared" si="127"/>
        <v>#NUM!</v>
      </c>
      <c r="AG138" s="51" t="str">
        <f t="shared" si="108"/>
        <v>1-0.528779231639027i</v>
      </c>
      <c r="AH138" s="51">
        <f t="shared" si="128"/>
        <v>1.1311973637755526</v>
      </c>
      <c r="AI138" s="51">
        <f t="shared" si="129"/>
        <v>-0.4864050429792996</v>
      </c>
      <c r="AJ138" s="51" t="str">
        <f t="shared" si="109"/>
        <v>1+0.00176259743879675i</v>
      </c>
      <c r="AK138" s="51">
        <f t="shared" si="130"/>
        <v>1.000001553373659</v>
      </c>
      <c r="AL138" s="51">
        <f t="shared" si="131"/>
        <v>1.7625956134837794E-3</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21.6327514141115+97.1221081806601i</v>
      </c>
      <c r="BG138" s="66">
        <f t="shared" si="147"/>
        <v>39.956650164967648</v>
      </c>
      <c r="BH138" s="63">
        <f t="shared" si="148"/>
        <v>77.443052545070643</v>
      </c>
      <c r="BI138" s="60" t="e">
        <f t="shared" si="152"/>
        <v>#NUM!</v>
      </c>
      <c r="BJ138" s="66" t="e">
        <f t="shared" si="149"/>
        <v>#NUM!</v>
      </c>
      <c r="BK138" s="63" t="e">
        <f t="shared" si="153"/>
        <v>#NUM!</v>
      </c>
      <c r="BL138" s="51">
        <f t="shared" si="150"/>
        <v>39.956650164967648</v>
      </c>
      <c r="BM138" s="63">
        <f t="shared" si="151"/>
        <v>77.443052545070643</v>
      </c>
    </row>
    <row r="139" spans="14:65" x14ac:dyDescent="0.3">
      <c r="N139" s="11">
        <v>21</v>
      </c>
      <c r="O139" s="52">
        <f t="shared" si="154"/>
        <v>162.18100973589304</v>
      </c>
      <c r="P139" s="50" t="str">
        <f t="shared" si="103"/>
        <v>23.3035714285714</v>
      </c>
      <c r="Q139" s="18" t="str">
        <f t="shared" si="104"/>
        <v>1+0.386497201571296i</v>
      </c>
      <c r="R139" s="18">
        <f t="shared" si="116"/>
        <v>1.0720914545049052</v>
      </c>
      <c r="S139" s="18">
        <f t="shared" si="117"/>
        <v>0.36881211417739673</v>
      </c>
      <c r="T139" s="18" t="str">
        <f t="shared" si="105"/>
        <v>1+0.00180365360733272i</v>
      </c>
      <c r="U139" s="18">
        <f t="shared" si="118"/>
        <v>1.0000016265818448</v>
      </c>
      <c r="V139" s="18">
        <f t="shared" si="119"/>
        <v>1.8036516514748058E-3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20.2599847131258-7.87493271067795i</v>
      </c>
      <c r="AD139" s="66">
        <f t="shared" si="125"/>
        <v>26.743848504640695</v>
      </c>
      <c r="AE139" s="63">
        <f t="shared" si="126"/>
        <v>-21.240801054471707</v>
      </c>
      <c r="AF139" s="51" t="e">
        <f t="shared" si="127"/>
        <v>#NUM!</v>
      </c>
      <c r="AG139" s="51" t="str">
        <f t="shared" si="108"/>
        <v>1-0.541096082199816i</v>
      </c>
      <c r="AH139" s="51">
        <f t="shared" si="128"/>
        <v>1.1370070229211384</v>
      </c>
      <c r="AI139" s="51">
        <f t="shared" si="129"/>
        <v>-0.49598149812316467</v>
      </c>
      <c r="AJ139" s="51" t="str">
        <f t="shared" si="109"/>
        <v>1+0.00180365360733272i</v>
      </c>
      <c r="AK139" s="51">
        <f t="shared" si="130"/>
        <v>1.0000016265818448</v>
      </c>
      <c r="AL139" s="51">
        <f t="shared" si="131"/>
        <v>1.8036516514748058E-3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21.5086073546467+94.5899914552288i</v>
      </c>
      <c r="BG139" s="66">
        <f t="shared" si="147"/>
        <v>39.735843931165476</v>
      </c>
      <c r="BH139" s="63">
        <f t="shared" si="148"/>
        <v>77.189466296751974</v>
      </c>
      <c r="BI139" s="60" t="e">
        <f t="shared" si="152"/>
        <v>#NUM!</v>
      </c>
      <c r="BJ139" s="66" t="e">
        <f t="shared" si="149"/>
        <v>#NUM!</v>
      </c>
      <c r="BK139" s="63" t="e">
        <f t="shared" si="153"/>
        <v>#NUM!</v>
      </c>
      <c r="BL139" s="51">
        <f t="shared" si="150"/>
        <v>39.735843931165476</v>
      </c>
      <c r="BM139" s="63">
        <f t="shared" si="151"/>
        <v>77.189466296751974</v>
      </c>
    </row>
    <row r="140" spans="14:65" x14ac:dyDescent="0.3">
      <c r="N140" s="11">
        <v>22</v>
      </c>
      <c r="O140" s="52">
        <f t="shared" si="154"/>
        <v>165.95869074375622</v>
      </c>
      <c r="P140" s="50" t="str">
        <f t="shared" si="103"/>
        <v>23.3035714285714</v>
      </c>
      <c r="Q140" s="18" t="str">
        <f t="shared" si="104"/>
        <v>1+0.395499877904031i</v>
      </c>
      <c r="R140" s="18">
        <f t="shared" si="116"/>
        <v>1.075369775203908</v>
      </c>
      <c r="S140" s="18">
        <f t="shared" si="117"/>
        <v>0.3766209517624301</v>
      </c>
      <c r="T140" s="18" t="str">
        <f t="shared" si="105"/>
        <v>1+0.00184566609688548i</v>
      </c>
      <c r="U140" s="18">
        <f t="shared" si="118"/>
        <v>1.00000170324022</v>
      </c>
      <c r="V140" s="18">
        <f t="shared" si="119"/>
        <v>1.8456640011461595E-3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20.135946902418-8.00930652186408i</v>
      </c>
      <c r="AD140" s="66">
        <f t="shared" si="125"/>
        <v>26.717330347091689</v>
      </c>
      <c r="AE140" s="63">
        <f t="shared" si="126"/>
        <v>-21.690763281086074</v>
      </c>
      <c r="AF140" s="51" t="e">
        <f t="shared" si="127"/>
        <v>#NUM!</v>
      </c>
      <c r="AG140" s="51" t="str">
        <f t="shared" si="108"/>
        <v>1-0.553699829065644i</v>
      </c>
      <c r="AH140" s="51">
        <f t="shared" si="128"/>
        <v>1.1430588351906141</v>
      </c>
      <c r="AI140" s="51">
        <f t="shared" si="129"/>
        <v>-0.50567933216056971</v>
      </c>
      <c r="AJ140" s="51" t="str">
        <f t="shared" si="109"/>
        <v>1+0.00184566609688548i</v>
      </c>
      <c r="AK140" s="51">
        <f t="shared" si="130"/>
        <v>1.00000170324022</v>
      </c>
      <c r="AL140" s="51">
        <f t="shared" si="131"/>
        <v>1.8456640011461595E-3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21.3801596999187+92.1119394407016i</v>
      </c>
      <c r="BG140" s="66">
        <f t="shared" si="147"/>
        <v>39.514210962314721</v>
      </c>
      <c r="BH140" s="63">
        <f t="shared" si="148"/>
        <v>76.932434527067571</v>
      </c>
      <c r="BI140" s="60" t="e">
        <f t="shared" si="152"/>
        <v>#NUM!</v>
      </c>
      <c r="BJ140" s="66" t="e">
        <f t="shared" si="149"/>
        <v>#NUM!</v>
      </c>
      <c r="BK140" s="63" t="e">
        <f t="shared" si="153"/>
        <v>#NUM!</v>
      </c>
      <c r="BL140" s="51">
        <f t="shared" si="150"/>
        <v>39.514210962314721</v>
      </c>
      <c r="BM140" s="63">
        <f t="shared" si="151"/>
        <v>76.932434527067571</v>
      </c>
    </row>
    <row r="141" spans="14:65" x14ac:dyDescent="0.3">
      <c r="N141" s="11">
        <v>23</v>
      </c>
      <c r="O141" s="52">
        <f t="shared" si="154"/>
        <v>169.82436524617444</v>
      </c>
      <c r="P141" s="50" t="str">
        <f t="shared" si="103"/>
        <v>23.3035714285714</v>
      </c>
      <c r="Q141" s="18" t="str">
        <f t="shared" si="104"/>
        <v>1+0.404712253507087i</v>
      </c>
      <c r="R141" s="18">
        <f t="shared" si="116"/>
        <v>1.078791920686647</v>
      </c>
      <c r="S141" s="18">
        <f t="shared" si="117"/>
        <v>0.38456205221827922</v>
      </c>
      <c r="T141" s="18" t="str">
        <f t="shared" si="105"/>
        <v>1+0.00188865718303307i</v>
      </c>
      <c r="U141" s="18">
        <f t="shared" si="118"/>
        <v>1.000001783511387</v>
      </c>
      <c r="V141" s="18">
        <f t="shared" si="119"/>
        <v>1.8886549374081455E-3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20.007671793898-8.14395273218784i</v>
      </c>
      <c r="AD141" s="66">
        <f t="shared" si="125"/>
        <v>26.689734910570188</v>
      </c>
      <c r="AE141" s="63">
        <f t="shared" si="126"/>
        <v>-22.148362980205942</v>
      </c>
      <c r="AF141" s="51" t="e">
        <f t="shared" si="127"/>
        <v>#NUM!</v>
      </c>
      <c r="AG141" s="51" t="str">
        <f t="shared" si="108"/>
        <v>1-0.566597154909923i</v>
      </c>
      <c r="AH141" s="51">
        <f t="shared" si="128"/>
        <v>1.1493617080588769</v>
      </c>
      <c r="AI141" s="51">
        <f t="shared" si="129"/>
        <v>-0.51549638975808632</v>
      </c>
      <c r="AJ141" s="51" t="str">
        <f t="shared" si="109"/>
        <v>1+0.00188865718303307i</v>
      </c>
      <c r="AK141" s="51">
        <f t="shared" si="130"/>
        <v>1.000001783511387</v>
      </c>
      <c r="AL141" s="51">
        <f t="shared" si="131"/>
        <v>1.8886549374081455E-3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21.2473240848529+89.6868418913883i</v>
      </c>
      <c r="BG141" s="66">
        <f t="shared" si="147"/>
        <v>39.29172502997816</v>
      </c>
      <c r="BH141" s="63">
        <f t="shared" si="148"/>
        <v>76.672018596463474</v>
      </c>
      <c r="BI141" s="60" t="e">
        <f t="shared" si="152"/>
        <v>#NUM!</v>
      </c>
      <c r="BJ141" s="66" t="e">
        <f t="shared" si="149"/>
        <v>#NUM!</v>
      </c>
      <c r="BK141" s="63" t="e">
        <f t="shared" si="153"/>
        <v>#NUM!</v>
      </c>
      <c r="BL141" s="51">
        <f t="shared" si="150"/>
        <v>39.29172502997816</v>
      </c>
      <c r="BM141" s="63">
        <f t="shared" si="151"/>
        <v>76.672018596463474</v>
      </c>
    </row>
    <row r="142" spans="14:65" x14ac:dyDescent="0.3">
      <c r="N142" s="11">
        <v>24</v>
      </c>
      <c r="O142" s="52">
        <f t="shared" si="154"/>
        <v>173.78008287493768</v>
      </c>
      <c r="P142" s="50" t="str">
        <f t="shared" si="103"/>
        <v>23.3035714285714</v>
      </c>
      <c r="Q142" s="18" t="str">
        <f t="shared" si="104"/>
        <v>1+0.414139212903956i</v>
      </c>
      <c r="R142" s="18">
        <f t="shared" si="116"/>
        <v>1.0823637501619814</v>
      </c>
      <c r="S142" s="18">
        <f t="shared" si="117"/>
        <v>0.39263561878911868</v>
      </c>
      <c r="T142" s="18" t="str">
        <f t="shared" si="105"/>
        <v>1+0.00193264966021846i</v>
      </c>
      <c r="U142" s="18">
        <f t="shared" si="118"/>
        <v>1.0000018675656106</v>
      </c>
      <c r="V142" s="18">
        <f t="shared" si="119"/>
        <v>1.9326472539882436E-3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19.8750815512518-8.27873894541471i</v>
      </c>
      <c r="AD142" s="66">
        <f t="shared" si="125"/>
        <v>26.661025675847068</v>
      </c>
      <c r="AE142" s="63">
        <f t="shared" si="126"/>
        <v>-22.613613179676133</v>
      </c>
      <c r="AF142" s="51" t="e">
        <f t="shared" si="127"/>
        <v>#NUM!</v>
      </c>
      <c r="AG142" s="51" t="str">
        <f t="shared" si="108"/>
        <v>1-0.57979489806554i</v>
      </c>
      <c r="AH142" s="51">
        <f t="shared" si="128"/>
        <v>1.1559247915945179</v>
      </c>
      <c r="AI142" s="51">
        <f t="shared" si="129"/>
        <v>-0.52543030642833666</v>
      </c>
      <c r="AJ142" s="51" t="str">
        <f t="shared" si="109"/>
        <v>1+0.00193264966021846i</v>
      </c>
      <c r="AK142" s="51">
        <f t="shared" si="130"/>
        <v>1.0000018675656106</v>
      </c>
      <c r="AL142" s="51">
        <f t="shared" si="131"/>
        <v>1.9326472539882436E-3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21.1100199038573+87.3136240190421i</v>
      </c>
      <c r="BG142" s="66">
        <f t="shared" si="147"/>
        <v>39.068359631089763</v>
      </c>
      <c r="BH142" s="63">
        <f t="shared" si="148"/>
        <v>76.408287948875966</v>
      </c>
      <c r="BI142" s="60" t="e">
        <f t="shared" si="152"/>
        <v>#NUM!</v>
      </c>
      <c r="BJ142" s="66" t="e">
        <f t="shared" si="149"/>
        <v>#NUM!</v>
      </c>
      <c r="BK142" s="63" t="e">
        <f t="shared" si="153"/>
        <v>#NUM!</v>
      </c>
      <c r="BL142" s="51">
        <f t="shared" si="150"/>
        <v>39.068359631089763</v>
      </c>
      <c r="BM142" s="63">
        <f t="shared" si="151"/>
        <v>76.408287948875966</v>
      </c>
    </row>
    <row r="143" spans="14:65" x14ac:dyDescent="0.3">
      <c r="N143" s="11">
        <v>25</v>
      </c>
      <c r="O143" s="52">
        <f t="shared" si="154"/>
        <v>177.82794100389242</v>
      </c>
      <c r="P143" s="50" t="str">
        <f t="shared" si="103"/>
        <v>23.3035714285714</v>
      </c>
      <c r="Q143" s="18" t="str">
        <f t="shared" si="104"/>
        <v>1+0.423785754393287i</v>
      </c>
      <c r="R143" s="18">
        <f t="shared" si="116"/>
        <v>1.0860913247175339</v>
      </c>
      <c r="S143" s="18">
        <f t="shared" si="117"/>
        <v>0.40084172110046085</v>
      </c>
      <c r="T143" s="18" t="str">
        <f t="shared" si="105"/>
        <v>1+0.00197766685383534i</v>
      </c>
      <c r="U143" s="18">
        <f t="shared" si="118"/>
        <v>1.0000019555811801</v>
      </c>
      <c r="V143" s="18">
        <f t="shared" si="119"/>
        <v>1.9776642755134828E-3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19.7381024706646-8.41352576886517i</v>
      </c>
      <c r="AD143" s="66">
        <f t="shared" si="125"/>
        <v>26.631165476404615</v>
      </c>
      <c r="AE143" s="63">
        <f t="shared" si="126"/>
        <v>-23.086519283762289</v>
      </c>
      <c r="AF143" s="51" t="e">
        <f t="shared" si="127"/>
        <v>#NUM!</v>
      </c>
      <c r="AG143" s="51" t="str">
        <f t="shared" si="108"/>
        <v>1-0.593300056150603i</v>
      </c>
      <c r="AH143" s="51">
        <f t="shared" si="128"/>
        <v>1.1627574797129059</v>
      </c>
      <c r="AI143" s="51">
        <f t="shared" si="129"/>
        <v>-0.53547850618513237</v>
      </c>
      <c r="AJ143" s="51" t="str">
        <f t="shared" si="109"/>
        <v>1+0.00197766685383534i</v>
      </c>
      <c r="AK143" s="51">
        <f t="shared" si="130"/>
        <v>1.0000019555811801</v>
      </c>
      <c r="AL143" s="51">
        <f t="shared" si="131"/>
        <v>1.9776642755134828E-3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20.968170830586+84.9912458646971i</v>
      </c>
      <c r="BG143" s="66">
        <f t="shared" si="147"/>
        <v>38.844088035951934</v>
      </c>
      <c r="BH143" s="63">
        <f t="shared" si="148"/>
        <v>76.141320457306819</v>
      </c>
      <c r="BI143" s="60" t="e">
        <f t="shared" si="152"/>
        <v>#NUM!</v>
      </c>
      <c r="BJ143" s="66" t="e">
        <f t="shared" si="149"/>
        <v>#NUM!</v>
      </c>
      <c r="BK143" s="63" t="e">
        <f t="shared" si="153"/>
        <v>#NUM!</v>
      </c>
      <c r="BL143" s="51">
        <f t="shared" si="150"/>
        <v>38.844088035951934</v>
      </c>
      <c r="BM143" s="63">
        <f t="shared" si="151"/>
        <v>76.141320457306819</v>
      </c>
    </row>
    <row r="144" spans="14:65" x14ac:dyDescent="0.3">
      <c r="N144" s="11">
        <v>26</v>
      </c>
      <c r="O144" s="52">
        <f t="shared" si="154"/>
        <v>181.9700858609983</v>
      </c>
      <c r="P144" s="50" t="str">
        <f t="shared" si="103"/>
        <v>23.3035714285714</v>
      </c>
      <c r="Q144" s="18" t="str">
        <f t="shared" si="104"/>
        <v>1+0.43365699269906i</v>
      </c>
      <c r="R144" s="18">
        <f t="shared" si="116"/>
        <v>1.0899809114460641</v>
      </c>
      <c r="S144" s="18">
        <f t="shared" si="117"/>
        <v>0.40918028828692149</v>
      </c>
      <c r="T144" s="18" t="str">
        <f t="shared" si="105"/>
        <v>1+0.00202373263259561i</v>
      </c>
      <c r="U144" s="18">
        <f t="shared" si="118"/>
        <v>1.0000020477447875</v>
      </c>
      <c r="V144" s="18">
        <f t="shared" si="119"/>
        <v>2.0237298698742704E-3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19.5966655018988-8.54816683351848i</v>
      </c>
      <c r="AD144" s="66">
        <f t="shared" si="125"/>
        <v>26.600116535949979</v>
      </c>
      <c r="AE144" s="63">
        <f t="shared" si="126"/>
        <v>-23.567078680150743</v>
      </c>
      <c r="AF144" s="51" t="e">
        <f t="shared" si="127"/>
        <v>#NUM!</v>
      </c>
      <c r="AG144" s="51" t="str">
        <f t="shared" si="108"/>
        <v>1-0.607119789778685i</v>
      </c>
      <c r="AH144" s="51">
        <f t="shared" si="128"/>
        <v>1.16986941114849</v>
      </c>
      <c r="AI144" s="51">
        <f t="shared" si="129"/>
        <v>-0.54563819991508677</v>
      </c>
      <c r="AJ144" s="51" t="str">
        <f t="shared" si="109"/>
        <v>1+0.00202373263259561i</v>
      </c>
      <c r="AK144" s="51">
        <f t="shared" si="130"/>
        <v>1.0000020477447875</v>
      </c>
      <c r="AL144" s="51">
        <f t="shared" si="131"/>
        <v>2.0237298698742704E-3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20.8217053575305+82.7187016499154i</v>
      </c>
      <c r="BG144" s="66">
        <f t="shared" si="147"/>
        <v>38.618883340929372</v>
      </c>
      <c r="BH144" s="63">
        <f t="shared" si="148"/>
        <v>75.871202764139639</v>
      </c>
      <c r="BI144" s="60" t="e">
        <f t="shared" si="152"/>
        <v>#NUM!</v>
      </c>
      <c r="BJ144" s="66" t="e">
        <f t="shared" si="149"/>
        <v>#NUM!</v>
      </c>
      <c r="BK144" s="63" t="e">
        <f t="shared" si="153"/>
        <v>#NUM!</v>
      </c>
      <c r="BL144" s="51">
        <f t="shared" si="150"/>
        <v>38.618883340929372</v>
      </c>
      <c r="BM144" s="63">
        <f t="shared" si="151"/>
        <v>75.871202764139639</v>
      </c>
    </row>
    <row r="145" spans="14:65" x14ac:dyDescent="0.3">
      <c r="N145" s="11">
        <v>27</v>
      </c>
      <c r="O145" s="52">
        <f t="shared" si="154"/>
        <v>186.20871366628685</v>
      </c>
      <c r="P145" s="50" t="str">
        <f t="shared" si="103"/>
        <v>23.3035714285714</v>
      </c>
      <c r="Q145" s="18" t="str">
        <f t="shared" si="104"/>
        <v>1+0.443758161682494i</v>
      </c>
      <c r="R145" s="18">
        <f t="shared" si="116"/>
        <v>1.0940389874496368</v>
      </c>
      <c r="S145" s="18">
        <f t="shared" si="117"/>
        <v>0.41765110215769435</v>
      </c>
      <c r="T145" s="18" t="str">
        <f t="shared" si="105"/>
        <v>1+0.00207087142118497i</v>
      </c>
      <c r="U145" s="18">
        <f t="shared" si="118"/>
        <v>1.0000021442519227</v>
      </c>
      <c r="V145" s="18">
        <f t="shared" si="119"/>
        <v>2.0708684608760622E-3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19.4507067865699-8.68250885110155i</v>
      </c>
      <c r="AD145" s="66">
        <f t="shared" si="125"/>
        <v>26.567840510453486</v>
      </c>
      <c r="AE145" s="63">
        <f t="shared" si="126"/>
        <v>-24.055280349126321</v>
      </c>
      <c r="AF145" s="51" t="e">
        <f t="shared" si="127"/>
        <v>#NUM!</v>
      </c>
      <c r="AG145" s="51" t="str">
        <f t="shared" si="108"/>
        <v>1-0.621261426355493i</v>
      </c>
      <c r="AH145" s="51">
        <f t="shared" si="128"/>
        <v>1.1772704701457781</v>
      </c>
      <c r="AI145" s="51">
        <f t="shared" si="129"/>
        <v>-0.55590638451575836</v>
      </c>
      <c r="AJ145" s="51" t="str">
        <f t="shared" si="109"/>
        <v>1+0.00207087142118497i</v>
      </c>
      <c r="AK145" s="51">
        <f t="shared" si="130"/>
        <v>1.0000021442519227</v>
      </c>
      <c r="AL145" s="51">
        <f t="shared" si="131"/>
        <v>2.0708684608760622E-3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20.6705573534217+80.4950191040259i</v>
      </c>
      <c r="BG145" s="66">
        <f t="shared" si="147"/>
        <v>38.392718525979951</v>
      </c>
      <c r="BH145" s="63">
        <f t="shared" si="148"/>
        <v>75.598030613888568</v>
      </c>
      <c r="BI145" s="60" t="e">
        <f t="shared" si="152"/>
        <v>#NUM!</v>
      </c>
      <c r="BJ145" s="66" t="e">
        <f t="shared" si="149"/>
        <v>#NUM!</v>
      </c>
      <c r="BK145" s="63" t="e">
        <f t="shared" si="153"/>
        <v>#NUM!</v>
      </c>
      <c r="BL145" s="51">
        <f t="shared" si="150"/>
        <v>38.392718525979951</v>
      </c>
      <c r="BM145" s="63">
        <f t="shared" si="151"/>
        <v>75.598030613888568</v>
      </c>
    </row>
    <row r="146" spans="14:65" x14ac:dyDescent="0.3">
      <c r="N146" s="11">
        <v>28</v>
      </c>
      <c r="O146" s="52">
        <f t="shared" si="154"/>
        <v>190.54607179632498</v>
      </c>
      <c r="P146" s="50" t="str">
        <f t="shared" si="103"/>
        <v>23.3035714285714</v>
      </c>
      <c r="Q146" s="18" t="str">
        <f t="shared" si="104"/>
        <v>1+0.45409461711709i</v>
      </c>
      <c r="R146" s="18">
        <f t="shared" si="116"/>
        <v>1.0982722437058658</v>
      </c>
      <c r="S146" s="18">
        <f t="shared" si="117"/>
        <v>0.42625379043751682</v>
      </c>
      <c r="T146" s="18" t="str">
        <f t="shared" si="105"/>
        <v>1+0.00211910821321309i</v>
      </c>
      <c r="U146" s="18">
        <f t="shared" si="118"/>
        <v>1.000002245307289</v>
      </c>
      <c r="V146" s="18">
        <f t="shared" si="119"/>
        <v>2.1191050411853308E-3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19.3001682113051-8.81639171109982i</v>
      </c>
      <c r="AD146" s="66">
        <f t="shared" si="125"/>
        <v>26.534298534850535</v>
      </c>
      <c r="AE146" s="63">
        <f t="shared" si="126"/>
        <v>-24.551104477093087</v>
      </c>
      <c r="AF146" s="51" t="e">
        <f t="shared" si="127"/>
        <v>#NUM!</v>
      </c>
      <c r="AG146" s="51" t="str">
        <f t="shared" si="108"/>
        <v>1-0.635732463963927i</v>
      </c>
      <c r="AH146" s="51">
        <f t="shared" si="128"/>
        <v>1.1849707868709869</v>
      </c>
      <c r="AI146" s="51">
        <f t="shared" si="129"/>
        <v>-0.56627984284728994</v>
      </c>
      <c r="AJ146" s="51" t="str">
        <f t="shared" si="109"/>
        <v>1+0.00211910821321309i</v>
      </c>
      <c r="AK146" s="51">
        <f t="shared" si="130"/>
        <v>1.000002245307289</v>
      </c>
      <c r="AL146" s="51">
        <f t="shared" si="131"/>
        <v>2.1191050411853308E-3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20.5146666360406+78.3192587639948i</v>
      </c>
      <c r="BG146" s="66">
        <f t="shared" si="147"/>
        <v>38.165566517142111</v>
      </c>
      <c r="BH146" s="63">
        <f t="shared" si="148"/>
        <v>75.321909175894305</v>
      </c>
      <c r="BI146" s="60" t="e">
        <f t="shared" si="152"/>
        <v>#NUM!</v>
      </c>
      <c r="BJ146" s="66" t="e">
        <f t="shared" si="149"/>
        <v>#NUM!</v>
      </c>
      <c r="BK146" s="63" t="e">
        <f t="shared" si="153"/>
        <v>#NUM!</v>
      </c>
      <c r="BL146" s="51">
        <f t="shared" si="150"/>
        <v>38.165566517142111</v>
      </c>
      <c r="BM146" s="63">
        <f t="shared" si="151"/>
        <v>75.321909175894305</v>
      </c>
    </row>
    <row r="147" spans="14:65" x14ac:dyDescent="0.3">
      <c r="N147" s="11">
        <v>29</v>
      </c>
      <c r="O147" s="52">
        <f t="shared" si="154"/>
        <v>194.98445997580458</v>
      </c>
      <c r="P147" s="50" t="str">
        <f t="shared" ref="P147:P210" si="155">COMPLEX(Adc,0)</f>
        <v>23.3035714285714</v>
      </c>
      <c r="Q147" s="18" t="str">
        <f t="shared" ref="Q147:Q210" si="156">IMSUM(COMPLEX(1,0),IMDIV(COMPLEX(0,2*PI()*O147),COMPLEX(wp_lf,0)))</f>
        <v>1+0.464671839528327i</v>
      </c>
      <c r="R147" s="18">
        <f t="shared" si="116"/>
        <v>1.1026875887805392</v>
      </c>
      <c r="S147" s="18">
        <f t="shared" si="117"/>
        <v>0.43498782012383147</v>
      </c>
      <c r="T147" s="18" t="str">
        <f t="shared" ref="T147:T210" si="157">IMSUM(COMPLEX(1,0),IMDIV(COMPLEX(0,2*PI()*O147),COMPLEX(wz_esr,0)))</f>
        <v>1+0.00216846858446553i</v>
      </c>
      <c r="U147" s="18">
        <f t="shared" si="118"/>
        <v>1.0000023511252372</v>
      </c>
      <c r="V147" s="18">
        <f t="shared" si="119"/>
        <v>2.1684651855769809E-3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19.1449979730765-8.94964862054192i</v>
      </c>
      <c r="AD147" s="66">
        <f t="shared" si="125"/>
        <v>26.49945127452137</v>
      </c>
      <c r="AE147" s="63">
        <f t="shared" si="126"/>
        <v>-25.054522076771779</v>
      </c>
      <c r="AF147" s="51" t="e">
        <f t="shared" si="127"/>
        <v>#NUM!</v>
      </c>
      <c r="AG147" s="51" t="str">
        <f t="shared" ref="AG147:AG210" si="160">IMSUM(COMPLEX(1,0),IMDIV(COMPLEX(0,2*PI()*O147),COMPLEX(wp_lf_DCM,0)))</f>
        <v>1-0.65054057533966i</v>
      </c>
      <c r="AH147" s="51">
        <f t="shared" si="128"/>
        <v>1.1929807375491257</v>
      </c>
      <c r="AI147" s="51">
        <f t="shared" si="129"/>
        <v>-0.57675514454075416</v>
      </c>
      <c r="AJ147" s="51" t="str">
        <f t="shared" ref="AJ147:AJ210" si="161">IMSUM(COMPLEX(1,0),IMDIV(COMPLEX(0,2*PI()*O147),COMPLEX(wz1_dcm,0)))</f>
        <v>1+0.00216846858446553i</v>
      </c>
      <c r="AK147" s="51">
        <f t="shared" si="130"/>
        <v>1.0000023511252372</v>
      </c>
      <c r="AL147" s="51">
        <f t="shared" si="131"/>
        <v>2.1684651855769809E-3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20.3539795576383+76.1905132436442i</v>
      </c>
      <c r="BG147" s="66">
        <f t="shared" si="147"/>
        <v>37.937400254071918</v>
      </c>
      <c r="BH147" s="63">
        <f t="shared" si="148"/>
        <v>75.042953354305368</v>
      </c>
      <c r="BI147" s="60" t="e">
        <f t="shared" si="152"/>
        <v>#NUM!</v>
      </c>
      <c r="BJ147" s="66" t="e">
        <f t="shared" si="149"/>
        <v>#NUM!</v>
      </c>
      <c r="BK147" s="63" t="e">
        <f t="shared" si="153"/>
        <v>#NUM!</v>
      </c>
      <c r="BL147" s="51">
        <f t="shared" si="150"/>
        <v>37.937400254071918</v>
      </c>
      <c r="BM147" s="63">
        <f t="shared" si="151"/>
        <v>75.042953354305368</v>
      </c>
    </row>
    <row r="148" spans="14:65" x14ac:dyDescent="0.3">
      <c r="N148" s="11">
        <v>30</v>
      </c>
      <c r="O148" s="52">
        <f t="shared" si="154"/>
        <v>199.52623149688802</v>
      </c>
      <c r="P148" s="50" t="str">
        <f t="shared" si="155"/>
        <v>23.3035714285714</v>
      </c>
      <c r="Q148" s="18" t="str">
        <f t="shared" si="156"/>
        <v>1+0.475495437099545i</v>
      </c>
      <c r="R148" s="18">
        <f t="shared" ref="R148:R211" si="167">IMABS(Q148)</f>
        <v>1.1072921523710386</v>
      </c>
      <c r="S148" s="18">
        <f t="shared" ref="S148:S211" si="168">IMARGUMENT(Q148)</f>
        <v>0.44385249100357249</v>
      </c>
      <c r="T148" s="18" t="str">
        <f t="shared" si="157"/>
        <v>1+0.00221897870646454i</v>
      </c>
      <c r="U148" s="18">
        <f t="shared" ref="U148:U211" si="169">IMABS(T148)</f>
        <v>1.0000024619302192</v>
      </c>
      <c r="V148" s="18">
        <f t="shared" ref="V148:V211" si="170">IMARGUMENT(T148)</f>
        <v>2.2189750644903273E-3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18.9851511536117-9.08210628928131i</v>
      </c>
      <c r="AD148" s="66">
        <f t="shared" ref="AD148:AD211" si="176">20*LOG(IMABS(AC148))</f>
        <v>26.463258981640884</v>
      </c>
      <c r="AE148" s="63">
        <f t="shared" ref="AE148:AE211" si="177">(180/PI())*IMARGUMENT(AC148)</f>
        <v>-25.56549461656099</v>
      </c>
      <c r="AF148" s="51" t="e">
        <f t="shared" ref="AF148:AF211" si="178">COMPLEX($B$68,0)</f>
        <v>#NUM!</v>
      </c>
      <c r="AG148" s="51" t="str">
        <f t="shared" si="160"/>
        <v>1-0.665693611939365i</v>
      </c>
      <c r="AH148" s="51">
        <f t="shared" ref="AH148:AH211" si="179">IMABS(AG148)</f>
        <v>1.2013109443340961</v>
      </c>
      <c r="AI148" s="51">
        <f t="shared" ref="AI148:AI211" si="180">IMARGUMENT(AG148)</f>
        <v>-0.58732864770177429</v>
      </c>
      <c r="AJ148" s="51" t="str">
        <f t="shared" si="161"/>
        <v>1+0.00221897870646454i</v>
      </c>
      <c r="AK148" s="51">
        <f t="shared" ref="AK148:AK211" si="181">IMABS(AJ148)</f>
        <v>1.0000024619302192</v>
      </c>
      <c r="AL148" s="51">
        <f t="shared" ref="AL148:AL211" si="182">IMARGUMENT(AJ148)</f>
        <v>2.2189750644903273E-3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20.1884495997562+74.1079064690984i</v>
      </c>
      <c r="BG148" s="66">
        <f t="shared" ref="BG148:BG211" si="198">20*LOG(IMABS(BF148))</f>
        <v>37.708192762696982</v>
      </c>
      <c r="BH148" s="63">
        <f t="shared" ref="BH148:BH211" si="199">(180/PI())*IMARGUMENT(BF148)</f>
        <v>74.761288082518362</v>
      </c>
      <c r="BI148" s="60" t="e">
        <f t="shared" si="152"/>
        <v>#NUM!</v>
      </c>
      <c r="BJ148" s="66" t="e">
        <f t="shared" ref="BJ148:BJ211" si="200">20*LOG(IMABS(BI148))</f>
        <v>#NUM!</v>
      </c>
      <c r="BK148" s="63" t="e">
        <f t="shared" si="153"/>
        <v>#NUM!</v>
      </c>
      <c r="BL148" s="51">
        <f t="shared" ref="BL148:BL211" si="201">IF($B$31=0,BJ148,BG148)</f>
        <v>37.708192762696982</v>
      </c>
      <c r="BM148" s="63">
        <f t="shared" ref="BM148:BM211" si="202">IF($B$31=0,BK148,BH148)</f>
        <v>74.761288082518362</v>
      </c>
    </row>
    <row r="149" spans="14:65" x14ac:dyDescent="0.3">
      <c r="N149" s="11">
        <v>31</v>
      </c>
      <c r="O149" s="52">
        <f t="shared" si="154"/>
        <v>204.17379446695315</v>
      </c>
      <c r="P149" s="50" t="str">
        <f t="shared" si="155"/>
        <v>23.3035714285714</v>
      </c>
      <c r="Q149" s="18" t="str">
        <f t="shared" si="156"/>
        <v>1+0.486571148645437i</v>
      </c>
      <c r="R149" s="18">
        <f t="shared" si="167"/>
        <v>1.112093288665182</v>
      </c>
      <c r="S149" s="18">
        <f t="shared" si="168"/>
        <v>0.45284692937548116</v>
      </c>
      <c r="T149" s="18" t="str">
        <f t="shared" si="157"/>
        <v>1+0.00227066536034537i</v>
      </c>
      <c r="U149" s="18">
        <f t="shared" si="169"/>
        <v>1.0000025779572663</v>
      </c>
      <c r="V149" s="18">
        <f t="shared" si="170"/>
        <v>2.2706614579002357E-3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18.820590299381-9.21358516331595i</v>
      </c>
      <c r="AD149" s="66">
        <f t="shared" si="176"/>
        <v>26.425681556460976</v>
      </c>
      <c r="AE149" s="63">
        <f t="shared" si="177"/>
        <v>-26.08397366169353</v>
      </c>
      <c r="AF149" s="51" t="e">
        <f t="shared" si="178"/>
        <v>#NUM!</v>
      </c>
      <c r="AG149" s="51" t="str">
        <f t="shared" si="160"/>
        <v>1-0.681199608103613i</v>
      </c>
      <c r="AH149" s="51">
        <f t="shared" si="179"/>
        <v>1.2099722749222463</v>
      </c>
      <c r="AI149" s="51">
        <f t="shared" si="180"/>
        <v>-0.5979965015425327</v>
      </c>
      <c r="AJ149" s="51" t="str">
        <f t="shared" si="161"/>
        <v>1+0.00227066536034537i</v>
      </c>
      <c r="AK149" s="51">
        <f t="shared" si="181"/>
        <v>1.0000025779572663</v>
      </c>
      <c r="AL149" s="51">
        <f t="shared" si="182"/>
        <v>2.2706614579002357E-3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20.0180379738174+72.0705928775215i</v>
      </c>
      <c r="BG149" s="66">
        <f t="shared" si="198"/>
        <v>37.477917233021202</v>
      </c>
      <c r="BH149" s="63">
        <f t="shared" si="199"/>
        <v>74.477048599095241</v>
      </c>
      <c r="BI149" s="60" t="e">
        <f t="shared" si="152"/>
        <v>#NUM!</v>
      </c>
      <c r="BJ149" s="66" t="e">
        <f t="shared" si="200"/>
        <v>#NUM!</v>
      </c>
      <c r="BK149" s="63" t="e">
        <f t="shared" si="153"/>
        <v>#NUM!</v>
      </c>
      <c r="BL149" s="51">
        <f t="shared" si="201"/>
        <v>37.477917233021202</v>
      </c>
      <c r="BM149" s="63">
        <f t="shared" si="202"/>
        <v>74.477048599095241</v>
      </c>
    </row>
    <row r="150" spans="14:65" x14ac:dyDescent="0.3">
      <c r="N150" s="11">
        <v>32</v>
      </c>
      <c r="O150" s="52">
        <f t="shared" si="154"/>
        <v>208.92961308540396</v>
      </c>
      <c r="P150" s="50" t="str">
        <f t="shared" si="155"/>
        <v>23.3035714285714</v>
      </c>
      <c r="Q150" s="18" t="str">
        <f t="shared" si="156"/>
        <v>1+0.497904846654876i</v>
      </c>
      <c r="R150" s="18">
        <f t="shared" si="167"/>
        <v>1.1170985795006705</v>
      </c>
      <c r="S150" s="18">
        <f t="shared" si="168"/>
        <v>0.46197008202646361</v>
      </c>
      <c r="T150" s="18" t="str">
        <f t="shared" si="157"/>
        <v>1+0.00232355595105609i</v>
      </c>
      <c r="U150" s="18">
        <f t="shared" si="169"/>
        <v>1.0000026994524853</v>
      </c>
      <c r="V150" s="18">
        <f t="shared" si="170"/>
        <v>2.3235517695114E-3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18.6512860032575-9.34389970845855i</v>
      </c>
      <c r="AD150" s="66">
        <f t="shared" si="176"/>
        <v>26.386678613556708</v>
      </c>
      <c r="AE150" s="63">
        <f t="shared" si="177"/>
        <v>-26.609900529968069</v>
      </c>
      <c r="AF150" s="51" t="e">
        <f t="shared" si="178"/>
        <v>#NUM!</v>
      </c>
      <c r="AG150" s="51" t="str">
        <f t="shared" si="160"/>
        <v>1-0.697066785316828i</v>
      </c>
      <c r="AH150" s="51">
        <f t="shared" si="179"/>
        <v>1.2189758419230206</v>
      </c>
      <c r="AI150" s="51">
        <f t="shared" si="180"/>
        <v>-0.60875464996942175</v>
      </c>
      <c r="AJ150" s="51" t="str">
        <f t="shared" si="161"/>
        <v>1+0.00232355595105609i</v>
      </c>
      <c r="AK150" s="51">
        <f t="shared" si="181"/>
        <v>1.0000026994524853</v>
      </c>
      <c r="AL150" s="51">
        <f t="shared" si="182"/>
        <v>2.3235517695114E-3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19.8427142234538+70.0777565764509i</v>
      </c>
      <c r="BG150" s="66">
        <f t="shared" si="198"/>
        <v>37.246547102078324</v>
      </c>
      <c r="BH150" s="63">
        <f t="shared" si="199"/>
        <v>74.190380702022765</v>
      </c>
      <c r="BI150" s="60" t="e">
        <f t="shared" si="152"/>
        <v>#NUM!</v>
      </c>
      <c r="BJ150" s="66" t="e">
        <f t="shared" si="200"/>
        <v>#NUM!</v>
      </c>
      <c r="BK150" s="63" t="e">
        <f t="shared" si="153"/>
        <v>#NUM!</v>
      </c>
      <c r="BL150" s="51">
        <f t="shared" si="201"/>
        <v>37.246547102078324</v>
      </c>
      <c r="BM150" s="63">
        <f t="shared" si="202"/>
        <v>74.190380702022765</v>
      </c>
    </row>
    <row r="151" spans="14:65" x14ac:dyDescent="0.3">
      <c r="N151" s="11">
        <v>33</v>
      </c>
      <c r="O151" s="52">
        <f t="shared" si="154"/>
        <v>213.79620895022339</v>
      </c>
      <c r="P151" s="50" t="str">
        <f t="shared" si="155"/>
        <v>23.3035714285714</v>
      </c>
      <c r="Q151" s="18" t="str">
        <f t="shared" si="156"/>
        <v>1+0.509502540404556i</v>
      </c>
      <c r="R151" s="18">
        <f t="shared" si="167"/>
        <v>1.1223158373108242</v>
      </c>
      <c r="S151" s="18">
        <f t="shared" si="168"/>
        <v>0.47122071051240688</v>
      </c>
      <c r="T151" s="18" t="str">
        <f t="shared" si="157"/>
        <v>1+0.00237767852188793i</v>
      </c>
      <c r="U151" s="18">
        <f t="shared" si="169"/>
        <v>1.0000028266735816</v>
      </c>
      <c r="V151" s="18">
        <f t="shared" si="170"/>
        <v>2.377674041282753E-3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18.4772174835546-9.47285874637733i</v>
      </c>
      <c r="AD151" s="66">
        <f t="shared" si="176"/>
        <v>26.346209553032466</v>
      </c>
      <c r="AE151" s="63">
        <f t="shared" si="177"/>
        <v>-27.143205964944887</v>
      </c>
      <c r="AF151" s="51" t="e">
        <f t="shared" si="178"/>
        <v>#NUM!</v>
      </c>
      <c r="AG151" s="51" t="str">
        <f t="shared" si="160"/>
        <v>1-0.713303556566381i</v>
      </c>
      <c r="AH151" s="51">
        <f t="shared" si="179"/>
        <v>1.2283330020032224</v>
      </c>
      <c r="AI151" s="51">
        <f t="shared" si="180"/>
        <v>-0.61959883614656963</v>
      </c>
      <c r="AJ151" s="51" t="str">
        <f t="shared" si="161"/>
        <v>1+0.00237767852188793i</v>
      </c>
      <c r="AK151" s="51">
        <f t="shared" si="181"/>
        <v>1.0000028266735816</v>
      </c>
      <c r="AL151" s="51">
        <f t="shared" si="182"/>
        <v>2.377674041282753E-3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19.6624568241135+68.1286104613452i</v>
      </c>
      <c r="BG151" s="66">
        <f t="shared" si="198"/>
        <v>37.014056141993322</v>
      </c>
      <c r="BH151" s="63">
        <f t="shared" si="199"/>
        <v>73.901440978059384</v>
      </c>
      <c r="BI151" s="60" t="e">
        <f t="shared" si="152"/>
        <v>#NUM!</v>
      </c>
      <c r="BJ151" s="66" t="e">
        <f t="shared" si="200"/>
        <v>#NUM!</v>
      </c>
      <c r="BK151" s="63" t="e">
        <f t="shared" si="153"/>
        <v>#NUM!</v>
      </c>
      <c r="BL151" s="51">
        <f t="shared" si="201"/>
        <v>37.014056141993322</v>
      </c>
      <c r="BM151" s="63">
        <f t="shared" si="202"/>
        <v>73.901440978059384</v>
      </c>
    </row>
    <row r="152" spans="14:65" x14ac:dyDescent="0.3">
      <c r="N152" s="11">
        <v>34</v>
      </c>
      <c r="O152" s="52">
        <f t="shared" si="154"/>
        <v>218.77616239495524</v>
      </c>
      <c r="P152" s="50" t="str">
        <f t="shared" si="155"/>
        <v>23.3035714285714</v>
      </c>
      <c r="Q152" s="18" t="str">
        <f t="shared" si="156"/>
        <v>1+0.521370379145225i</v>
      </c>
      <c r="R152" s="18">
        <f t="shared" si="167"/>
        <v>1.1277531078432175</v>
      </c>
      <c r="S152" s="18">
        <f t="shared" si="168"/>
        <v>0.48059738579590461</v>
      </c>
      <c r="T152" s="18" t="str">
        <f t="shared" si="157"/>
        <v>1+0.00243306176934438i</v>
      </c>
      <c r="U152" s="18">
        <f t="shared" si="169"/>
        <v>1.0000029598904063</v>
      </c>
      <c r="V152" s="18">
        <f t="shared" si="170"/>
        <v>2.4330569682902018E-3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18.2983731557629-9.60026584468533i</v>
      </c>
      <c r="AD152" s="66">
        <f t="shared" si="176"/>
        <v>26.304233636646067</v>
      </c>
      <c r="AE152" s="63">
        <f t="shared" si="177"/>
        <v>-27.683809829611903</v>
      </c>
      <c r="AF152" s="51" t="e">
        <f t="shared" si="178"/>
        <v>#NUM!</v>
      </c>
      <c r="AG152" s="51" t="str">
        <f t="shared" si="160"/>
        <v>1-0.729918530803316i</v>
      </c>
      <c r="AH152" s="51">
        <f t="shared" si="179"/>
        <v>1.2380553548246829</v>
      </c>
      <c r="AI152" s="51">
        <f t="shared" si="180"/>
        <v>-0.63052460804830834</v>
      </c>
      <c r="AJ152" s="51" t="str">
        <f t="shared" si="161"/>
        <v>1+0.00243306176934438i</v>
      </c>
      <c r="AK152" s="51">
        <f t="shared" si="181"/>
        <v>1.0000029598904063</v>
      </c>
      <c r="AL152" s="51">
        <f t="shared" si="182"/>
        <v>2.4330569682902018E-3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19.4772537751124+66.2223952893324i</v>
      </c>
      <c r="BG152" s="66">
        <f t="shared" si="198"/>
        <v>36.78041855306838</v>
      </c>
      <c r="BH152" s="63">
        <f t="shared" si="199"/>
        <v>73.610397003795555</v>
      </c>
      <c r="BI152" s="60" t="e">
        <f t="shared" si="152"/>
        <v>#NUM!</v>
      </c>
      <c r="BJ152" s="66" t="e">
        <f t="shared" si="200"/>
        <v>#NUM!</v>
      </c>
      <c r="BK152" s="63" t="e">
        <f t="shared" si="153"/>
        <v>#NUM!</v>
      </c>
      <c r="BL152" s="51">
        <f t="shared" si="201"/>
        <v>36.78041855306838</v>
      </c>
      <c r="BM152" s="63">
        <f t="shared" si="202"/>
        <v>73.610397003795555</v>
      </c>
    </row>
    <row r="153" spans="14:65" x14ac:dyDescent="0.3">
      <c r="N153" s="11">
        <v>35</v>
      </c>
      <c r="O153" s="52">
        <f t="shared" si="154"/>
        <v>223.87211385683412</v>
      </c>
      <c r="P153" s="50" t="str">
        <f t="shared" si="155"/>
        <v>23.3035714285714</v>
      </c>
      <c r="Q153" s="18" t="str">
        <f t="shared" si="156"/>
        <v>1+0.53351465536207i</v>
      </c>
      <c r="R153" s="18">
        <f t="shared" si="167"/>
        <v>1.1334186726387157</v>
      </c>
      <c r="S153" s="18">
        <f t="shared" si="168"/>
        <v>0.4900984832945901</v>
      </c>
      <c r="T153" s="18" t="str">
        <f t="shared" si="157"/>
        <v>1+0.00248973505835633i</v>
      </c>
      <c r="U153" s="18">
        <f t="shared" si="169"/>
        <v>1.0000030993855273</v>
      </c>
      <c r="V153" s="18">
        <f t="shared" si="170"/>
        <v>2.4897299139349533E-3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18.1147511919527-9.72591976234677i</v>
      </c>
      <c r="AD153" s="66">
        <f t="shared" si="176"/>
        <v>26.26071006876753</v>
      </c>
      <c r="AE153" s="63">
        <f t="shared" si="177"/>
        <v>-28.231620823596703</v>
      </c>
      <c r="AF153" s="51" t="e">
        <f t="shared" si="178"/>
        <v>#NUM!</v>
      </c>
      <c r="AG153" s="51" t="str">
        <f t="shared" si="160"/>
        <v>1-0.746920517506899i</v>
      </c>
      <c r="AH153" s="51">
        <f t="shared" si="179"/>
        <v>1.2481547417979768</v>
      </c>
      <c r="AI153" s="51">
        <f t="shared" si="180"/>
        <v>-0.64152732500542786</v>
      </c>
      <c r="AJ153" s="51" t="str">
        <f t="shared" si="161"/>
        <v>1+0.00248973505835633i</v>
      </c>
      <c r="AK153" s="51">
        <f t="shared" si="181"/>
        <v>1.0000030993855273</v>
      </c>
      <c r="AL153" s="51">
        <f t="shared" si="182"/>
        <v>2.4897299139349533E-3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19.2871031789064+64.3583787075586i</v>
      </c>
      <c r="BG153" s="66">
        <f t="shared" si="198"/>
        <v>36.54560906176166</v>
      </c>
      <c r="BH153" s="63">
        <f t="shared" si="199"/>
        <v>73.317427514975364</v>
      </c>
      <c r="BI153" s="60" t="e">
        <f t="shared" si="152"/>
        <v>#NUM!</v>
      </c>
      <c r="BJ153" s="66" t="e">
        <f t="shared" si="200"/>
        <v>#NUM!</v>
      </c>
      <c r="BK153" s="63" t="e">
        <f t="shared" si="153"/>
        <v>#NUM!</v>
      </c>
      <c r="BL153" s="51">
        <f t="shared" si="201"/>
        <v>36.54560906176166</v>
      </c>
      <c r="BM153" s="63">
        <f t="shared" si="202"/>
        <v>73.317427514975364</v>
      </c>
    </row>
    <row r="154" spans="14:65" x14ac:dyDescent="0.3">
      <c r="N154" s="11">
        <v>36</v>
      </c>
      <c r="O154" s="52">
        <f t="shared" si="154"/>
        <v>229.08676527677744</v>
      </c>
      <c r="P154" s="50" t="str">
        <f t="shared" si="155"/>
        <v>23.3035714285714</v>
      </c>
      <c r="Q154" s="18" t="str">
        <f t="shared" si="156"/>
        <v>1+0.545941808111087i</v>
      </c>
      <c r="R154" s="18">
        <f t="shared" si="167"/>
        <v>1.1393210512597416</v>
      </c>
      <c r="S154" s="18">
        <f t="shared" si="168"/>
        <v>0.499722178394988</v>
      </c>
      <c r="T154" s="18" t="str">
        <f t="shared" si="157"/>
        <v>1+0.00254772843785174i</v>
      </c>
      <c r="U154" s="18">
        <f t="shared" si="169"/>
        <v>1.00000324545483</v>
      </c>
      <c r="V154" s="18">
        <f t="shared" si="170"/>
        <v>2.5477229255058869E-3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17.9263600624766-9.84961495120867i</v>
      </c>
      <c r="AD154" s="66">
        <f t="shared" si="176"/>
        <v>26.215598082043876</v>
      </c>
      <c r="AE154" s="63">
        <f t="shared" si="177"/>
        <v>-28.786536227073739</v>
      </c>
      <c r="AF154" s="51" t="e">
        <f t="shared" si="178"/>
        <v>#NUM!</v>
      </c>
      <c r="AG154" s="51" t="str">
        <f t="shared" si="160"/>
        <v>1-0.764318531355524i</v>
      </c>
      <c r="AH154" s="51">
        <f t="shared" si="179"/>
        <v>1.2586432446779607</v>
      </c>
      <c r="AI154" s="51">
        <f t="shared" si="180"/>
        <v>-0.65260216524178227</v>
      </c>
      <c r="AJ154" s="51" t="str">
        <f t="shared" si="161"/>
        <v>1+0.00254772843785174i</v>
      </c>
      <c r="AK154" s="51">
        <f t="shared" si="181"/>
        <v>1.00000324545483</v>
      </c>
      <c r="AL154" s="51">
        <f t="shared" si="182"/>
        <v>2.5477229255058869E-3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19.0920138020401+62.5358542350365i</v>
      </c>
      <c r="BG154" s="66">
        <f t="shared" si="198"/>
        <v>36.309603023379445</v>
      </c>
      <c r="BH154" s="63">
        <f t="shared" si="199"/>
        <v>73.022722540554739</v>
      </c>
      <c r="BI154" s="60" t="e">
        <f t="shared" si="152"/>
        <v>#NUM!</v>
      </c>
      <c r="BJ154" s="66" t="e">
        <f t="shared" si="200"/>
        <v>#NUM!</v>
      </c>
      <c r="BK154" s="63" t="e">
        <f t="shared" si="153"/>
        <v>#NUM!</v>
      </c>
      <c r="BL154" s="51">
        <f t="shared" si="201"/>
        <v>36.309603023379445</v>
      </c>
      <c r="BM154" s="63">
        <f t="shared" si="202"/>
        <v>73.022722540554739</v>
      </c>
    </row>
    <row r="155" spans="14:65" x14ac:dyDescent="0.3">
      <c r="N155" s="11">
        <v>37</v>
      </c>
      <c r="O155" s="52">
        <f t="shared" si="154"/>
        <v>234.42288153199232</v>
      </c>
      <c r="P155" s="50" t="str">
        <f t="shared" si="155"/>
        <v>23.3035714285714</v>
      </c>
      <c r="Q155" s="18" t="str">
        <f t="shared" si="156"/>
        <v>1+0.558658426433156i</v>
      </c>
      <c r="R155" s="18">
        <f t="shared" si="167"/>
        <v>1.1454690032579538</v>
      </c>
      <c r="S155" s="18">
        <f t="shared" si="168"/>
        <v>0.50946644248721451</v>
      </c>
      <c r="T155" s="18" t="str">
        <f t="shared" si="157"/>
        <v>1+0.00260707265668806i</v>
      </c>
      <c r="U155" s="18">
        <f t="shared" si="169"/>
        <v>1.000003398408144</v>
      </c>
      <c r="V155" s="18">
        <f t="shared" si="170"/>
        <v>2.6070667501041454E-3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17.7332190543231-9.97114211394077i</v>
      </c>
      <c r="AD155" s="66">
        <f t="shared" si="176"/>
        <v>26.168857027595465</v>
      </c>
      <c r="AE155" s="63">
        <f t="shared" si="177"/>
        <v>-29.34844167453463</v>
      </c>
      <c r="AF155" s="51" t="e">
        <f t="shared" si="178"/>
        <v>#NUM!</v>
      </c>
      <c r="AG155" s="51" t="str">
        <f t="shared" si="160"/>
        <v>1-0.782121797006421i</v>
      </c>
      <c r="AH155" s="51">
        <f t="shared" si="179"/>
        <v>1.2695331840296862</v>
      </c>
      <c r="AI155" s="51">
        <f t="shared" si="180"/>
        <v>-0.66374413438885627</v>
      </c>
      <c r="AJ155" s="51" t="str">
        <f t="shared" si="161"/>
        <v>1+0.00260707265668806i</v>
      </c>
      <c r="AK155" s="51">
        <f t="shared" si="181"/>
        <v>1.000003398408144</v>
      </c>
      <c r="AL155" s="51">
        <f t="shared" si="182"/>
        <v>2.6070667501041454E-3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18.892005611912+60.7541401974296i</v>
      </c>
      <c r="BG155" s="66">
        <f t="shared" si="198"/>
        <v>36.072376529247379</v>
      </c>
      <c r="BH155" s="63">
        <f t="shared" si="199"/>
        <v>72.726483497950596</v>
      </c>
      <c r="BI155" s="60" t="e">
        <f t="shared" si="152"/>
        <v>#NUM!</v>
      </c>
      <c r="BJ155" s="66" t="e">
        <f t="shared" si="200"/>
        <v>#NUM!</v>
      </c>
      <c r="BK155" s="63" t="e">
        <f t="shared" si="153"/>
        <v>#NUM!</v>
      </c>
      <c r="BL155" s="51">
        <f t="shared" si="201"/>
        <v>36.072376529247379</v>
      </c>
      <c r="BM155" s="63">
        <f t="shared" si="202"/>
        <v>72.726483497950596</v>
      </c>
    </row>
    <row r="156" spans="14:65" x14ac:dyDescent="0.3">
      <c r="N156" s="11">
        <v>38</v>
      </c>
      <c r="O156" s="52">
        <f t="shared" si="154"/>
        <v>239.88329190194912</v>
      </c>
      <c r="P156" s="50" t="str">
        <f t="shared" si="155"/>
        <v>23.3035714285714</v>
      </c>
      <c r="Q156" s="18" t="str">
        <f t="shared" si="156"/>
        <v>1+0.571671252847645i</v>
      </c>
      <c r="R156" s="18">
        <f t="shared" si="167"/>
        <v>1.151871529873187</v>
      </c>
      <c r="S156" s="18">
        <f t="shared" si="168"/>
        <v>0.51932903957590404</v>
      </c>
      <c r="T156" s="18" t="str">
        <f t="shared" si="157"/>
        <v>1+0.00266779917995568i</v>
      </c>
      <c r="U156" s="18">
        <f t="shared" si="169"/>
        <v>1.0000035585699005</v>
      </c>
      <c r="V156" s="18">
        <f t="shared" si="170"/>
        <v>2.6677928509382036E-3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17.5353587602304-10.0902888180907i</v>
      </c>
      <c r="AD156" s="66">
        <f t="shared" si="176"/>
        <v>26.120446469519301</v>
      </c>
      <c r="AE156" s="63">
        <f t="shared" si="177"/>
        <v>-29.917210961597046</v>
      </c>
      <c r="AF156" s="51" t="e">
        <f t="shared" si="178"/>
        <v>#NUM!</v>
      </c>
      <c r="AG156" s="51" t="str">
        <f t="shared" si="160"/>
        <v>1-0.800339753986704i</v>
      </c>
      <c r="AH156" s="51">
        <f t="shared" si="179"/>
        <v>1.2808371175959485</v>
      </c>
      <c r="AI156" s="51">
        <f t="shared" si="180"/>
        <v>-0.67494807495678899</v>
      </c>
      <c r="AJ156" s="51" t="str">
        <f t="shared" si="161"/>
        <v>1+0.00266779917995568i</v>
      </c>
      <c r="AK156" s="51">
        <f t="shared" si="181"/>
        <v>1.0000035585699005</v>
      </c>
      <c r="AL156" s="51">
        <f t="shared" si="182"/>
        <v>2.6677928509382036E-3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18.6871102832633+59.0125786148273i</v>
      </c>
      <c r="BG156" s="66">
        <f t="shared" si="198"/>
        <v>35.833906518073618</v>
      </c>
      <c r="BH156" s="63">
        <f t="shared" si="199"/>
        <v>72.428923245929724</v>
      </c>
      <c r="BI156" s="60" t="e">
        <f t="shared" si="152"/>
        <v>#NUM!</v>
      </c>
      <c r="BJ156" s="66" t="e">
        <f t="shared" si="200"/>
        <v>#NUM!</v>
      </c>
      <c r="BK156" s="63" t="e">
        <f t="shared" si="153"/>
        <v>#NUM!</v>
      </c>
      <c r="BL156" s="51">
        <f t="shared" si="201"/>
        <v>35.833906518073618</v>
      </c>
      <c r="BM156" s="63">
        <f t="shared" si="202"/>
        <v>72.428923245929724</v>
      </c>
    </row>
    <row r="157" spans="14:65" x14ac:dyDescent="0.3">
      <c r="N157" s="11">
        <v>39</v>
      </c>
      <c r="O157" s="52">
        <f t="shared" si="154"/>
        <v>245.4708915685033</v>
      </c>
      <c r="P157" s="50" t="str">
        <f t="shared" si="155"/>
        <v>23.3035714285714</v>
      </c>
      <c r="Q157" s="18" t="str">
        <f t="shared" si="156"/>
        <v>1+0.584987186927352i</v>
      </c>
      <c r="R157" s="18">
        <f t="shared" si="167"/>
        <v>1.1585378754573268</v>
      </c>
      <c r="S157" s="18">
        <f t="shared" si="168"/>
        <v>0.52930752352210497</v>
      </c>
      <c r="T157" s="18" t="str">
        <f t="shared" si="157"/>
        <v>1+0.00272994020566098i</v>
      </c>
      <c r="U157" s="18">
        <f t="shared" si="169"/>
        <v>1.0000037262798207</v>
      </c>
      <c r="V157" s="18">
        <f t="shared" si="170"/>
        <v>2.7299334239979361E-3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17.3328215324914-10.2068401653306i</v>
      </c>
      <c r="AD157" s="66">
        <f t="shared" si="176"/>
        <v>26.070326283423853</v>
      </c>
      <c r="AE157" s="63">
        <f t="shared" si="177"/>
        <v>-30.492705887987778</v>
      </c>
      <c r="AF157" s="51" t="e">
        <f t="shared" si="178"/>
        <v>#NUM!</v>
      </c>
      <c r="AG157" s="51" t="str">
        <f t="shared" si="160"/>
        <v>1-0.818982061698295i</v>
      </c>
      <c r="AH157" s="51">
        <f t="shared" si="179"/>
        <v>1.2925678386001989</v>
      </c>
      <c r="AI157" s="51">
        <f t="shared" si="180"/>
        <v>-0.68620867673102837</v>
      </c>
      <c r="AJ157" s="51" t="str">
        <f t="shared" si="161"/>
        <v>1+0.00272994020566098i</v>
      </c>
      <c r="AK157" s="51">
        <f t="shared" si="181"/>
        <v>1.0000037262798207</v>
      </c>
      <c r="AL157" s="51">
        <f t="shared" si="182"/>
        <v>2.7299334239979361E-3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18.4773716680986+57.310534043203i</v>
      </c>
      <c r="BG157" s="66">
        <f t="shared" si="198"/>
        <v>35.594170891156146</v>
      </c>
      <c r="BH157" s="63">
        <f t="shared" si="199"/>
        <v>72.130266091629835</v>
      </c>
      <c r="BI157" s="60" t="e">
        <f t="shared" si="152"/>
        <v>#NUM!</v>
      </c>
      <c r="BJ157" s="66" t="e">
        <f t="shared" si="200"/>
        <v>#NUM!</v>
      </c>
      <c r="BK157" s="63" t="e">
        <f t="shared" si="153"/>
        <v>#NUM!</v>
      </c>
      <c r="BL157" s="51">
        <f t="shared" si="201"/>
        <v>35.594170891156146</v>
      </c>
      <c r="BM157" s="63">
        <f t="shared" si="202"/>
        <v>72.130266091629835</v>
      </c>
    </row>
    <row r="158" spans="14:65" x14ac:dyDescent="0.3">
      <c r="N158" s="11">
        <v>40</v>
      </c>
      <c r="O158" s="52">
        <f t="shared" si="154"/>
        <v>251.18864315095806</v>
      </c>
      <c r="P158" s="50" t="str">
        <f t="shared" si="155"/>
        <v>23.3035714285714</v>
      </c>
      <c r="Q158" s="18" t="str">
        <f t="shared" si="156"/>
        <v>1+0.598613288956794i</v>
      </c>
      <c r="R158" s="18">
        <f t="shared" si="167"/>
        <v>1.1654775286189221</v>
      </c>
      <c r="S158" s="18">
        <f t="shared" si="168"/>
        <v>0.53939923596976869</v>
      </c>
      <c r="T158" s="18" t="str">
        <f t="shared" si="157"/>
        <v>1+0.00279352868179837i</v>
      </c>
      <c r="U158" s="18">
        <f t="shared" si="169"/>
        <v>1.0000039018936355</v>
      </c>
      <c r="V158" s="18">
        <f t="shared" si="170"/>
        <v>2.7935214151170278E-3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17.1256618952655-10.3205795142982i</v>
      </c>
      <c r="AD158" s="66">
        <f t="shared" si="176"/>
        <v>26.018456758667124</v>
      </c>
      <c r="AE158" s="63">
        <f t="shared" si="177"/>
        <v>-31.074776139774183</v>
      </c>
      <c r="AF158" s="51" t="e">
        <f t="shared" si="178"/>
        <v>#NUM!</v>
      </c>
      <c r="AG158" s="51" t="str">
        <f t="shared" si="160"/>
        <v>1-0.838058604539513i</v>
      </c>
      <c r="AH158" s="51">
        <f t="shared" si="179"/>
        <v>1.3047383740209053</v>
      </c>
      <c r="AI158" s="51">
        <f t="shared" si="180"/>
        <v>-0.69752048805460076</v>
      </c>
      <c r="AJ158" s="51" t="str">
        <f t="shared" si="161"/>
        <v>1+0.00279352868179837i</v>
      </c>
      <c r="AK158" s="51">
        <f t="shared" si="181"/>
        <v>1.0000039018936355</v>
      </c>
      <c r="AL158" s="51">
        <f t="shared" si="182"/>
        <v>2.7935214151170278E-3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18.2628462226426+55.6473923709709i</v>
      </c>
      <c r="BG158" s="66">
        <f t="shared" si="198"/>
        <v>35.353148631030116</v>
      </c>
      <c r="BH158" s="63">
        <f t="shared" si="199"/>
        <v>71.830747748277275</v>
      </c>
      <c r="BI158" s="60" t="e">
        <f t="shared" si="152"/>
        <v>#NUM!</v>
      </c>
      <c r="BJ158" s="66" t="e">
        <f t="shared" si="200"/>
        <v>#NUM!</v>
      </c>
      <c r="BK158" s="63" t="e">
        <f t="shared" si="153"/>
        <v>#NUM!</v>
      </c>
      <c r="BL158" s="51">
        <f t="shared" si="201"/>
        <v>35.353148631030116</v>
      </c>
      <c r="BM158" s="63">
        <f t="shared" si="202"/>
        <v>71.830747748277275</v>
      </c>
    </row>
    <row r="159" spans="14:65" x14ac:dyDescent="0.3">
      <c r="N159" s="11">
        <v>41</v>
      </c>
      <c r="O159" s="52">
        <f t="shared" si="154"/>
        <v>257.03957827688663</v>
      </c>
      <c r="P159" s="50" t="str">
        <f t="shared" si="155"/>
        <v>23.3035714285714</v>
      </c>
      <c r="Q159" s="18" t="str">
        <f t="shared" si="156"/>
        <v>1+0.612556783675619i</v>
      </c>
      <c r="R159" s="18">
        <f t="shared" si="167"/>
        <v>1.1727002230864541</v>
      </c>
      <c r="S159" s="18">
        <f t="shared" si="168"/>
        <v>0.54960130500832494</v>
      </c>
      <c r="T159" s="18" t="str">
        <f t="shared" si="157"/>
        <v>1+0.00285859832381956i</v>
      </c>
      <c r="U159" s="18">
        <f t="shared" si="169"/>
        <v>1.0000040857838417</v>
      </c>
      <c r="V159" s="18">
        <f t="shared" si="170"/>
        <v>2.8585905374319356E-3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16.9139469091831-10.4312892547188i</v>
      </c>
      <c r="AD159" s="66">
        <f t="shared" si="176"/>
        <v>25.964798703917872</v>
      </c>
      <c r="AE159" s="63">
        <f t="shared" si="177"/>
        <v>-31.663259213794806</v>
      </c>
      <c r="AF159" s="51" t="e">
        <f t="shared" si="178"/>
        <v>#NUM!</v>
      </c>
      <c r="AG159" s="51" t="str">
        <f t="shared" si="160"/>
        <v>1-0.857579497145869i</v>
      </c>
      <c r="AH159" s="51">
        <f t="shared" si="179"/>
        <v>1.3173619828752314</v>
      </c>
      <c r="AI159" s="51">
        <f t="shared" si="180"/>
        <v>-0.70887792794661175</v>
      </c>
      <c r="AJ159" s="51" t="str">
        <f t="shared" si="161"/>
        <v>1+0.00285859832381956i</v>
      </c>
      <c r="AK159" s="51">
        <f t="shared" si="181"/>
        <v>1.0000040857838417</v>
      </c>
      <c r="AL159" s="51">
        <f t="shared" si="182"/>
        <v>2.8585905374319356E-3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18.0436033848906+54.0225595727919i</v>
      </c>
      <c r="BG159" s="66">
        <f t="shared" si="198"/>
        <v>35.110819923089295</v>
      </c>
      <c r="BH159" s="63">
        <f t="shared" si="199"/>
        <v>71.530615240293159</v>
      </c>
      <c r="BI159" s="60" t="e">
        <f t="shared" si="152"/>
        <v>#NUM!</v>
      </c>
      <c r="BJ159" s="66" t="e">
        <f t="shared" si="200"/>
        <v>#NUM!</v>
      </c>
      <c r="BK159" s="63" t="e">
        <f t="shared" si="153"/>
        <v>#NUM!</v>
      </c>
      <c r="BL159" s="51">
        <f t="shared" si="201"/>
        <v>35.110819923089295</v>
      </c>
      <c r="BM159" s="63">
        <f t="shared" si="202"/>
        <v>71.530615240293159</v>
      </c>
    </row>
    <row r="160" spans="14:65" x14ac:dyDescent="0.3">
      <c r="N160" s="11">
        <v>42</v>
      </c>
      <c r="O160" s="52">
        <f t="shared" si="154"/>
        <v>263.02679918953817</v>
      </c>
      <c r="P160" s="50" t="str">
        <f t="shared" si="155"/>
        <v>23.3035714285714</v>
      </c>
      <c r="Q160" s="18" t="str">
        <f t="shared" si="156"/>
        <v>1+0.626825064109298i</v>
      </c>
      <c r="R160" s="18">
        <f t="shared" si="167"/>
        <v>1.1802159382907966</v>
      </c>
      <c r="S160" s="18">
        <f t="shared" si="168"/>
        <v>0.55991064462045692</v>
      </c>
      <c r="T160" s="18" t="str">
        <f t="shared" si="157"/>
        <v>1+0.00292518363251006i</v>
      </c>
      <c r="U160" s="18">
        <f t="shared" si="169"/>
        <v>1.0000042783404899</v>
      </c>
      <c r="V160" s="18">
        <f t="shared" si="170"/>
        <v>2.92517528924733E-3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16.6977564820728-10.5387516297519i</v>
      </c>
      <c r="AD160" s="66">
        <f t="shared" si="176"/>
        <v>25.909313555605333</v>
      </c>
      <c r="AE160" s="63">
        <f t="shared" si="177"/>
        <v>-32.257980387100638</v>
      </c>
      <c r="AF160" s="51" t="e">
        <f t="shared" si="178"/>
        <v>#NUM!</v>
      </c>
      <c r="AG160" s="51" t="str">
        <f t="shared" si="160"/>
        <v>1-0.87755508975302i</v>
      </c>
      <c r="AH160" s="51">
        <f t="shared" si="179"/>
        <v>1.330452154551764</v>
      </c>
      <c r="AI160" s="51">
        <f t="shared" si="180"/>
        <v>-0.72027529899889531</v>
      </c>
      <c r="AJ160" s="51" t="str">
        <f t="shared" si="161"/>
        <v>1+0.00292518363251006i</v>
      </c>
      <c r="AK160" s="51">
        <f t="shared" si="181"/>
        <v>1.0000042783404899</v>
      </c>
      <c r="AL160" s="51">
        <f t="shared" si="182"/>
        <v>2.92517528924733E-3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17.8197258963648+52.4354604235593i</v>
      </c>
      <c r="BG160" s="66">
        <f t="shared" si="198"/>
        <v>34.867166279656161</v>
      </c>
      <c r="BH160" s="63">
        <f t="shared" si="199"/>
        <v>71.23012675264394</v>
      </c>
      <c r="BI160" s="60" t="e">
        <f t="shared" si="152"/>
        <v>#NUM!</v>
      </c>
      <c r="BJ160" s="66" t="e">
        <f t="shared" si="200"/>
        <v>#NUM!</v>
      </c>
      <c r="BK160" s="63" t="e">
        <f t="shared" si="153"/>
        <v>#NUM!</v>
      </c>
      <c r="BL160" s="51">
        <f t="shared" si="201"/>
        <v>34.867166279656161</v>
      </c>
      <c r="BM160" s="63">
        <f t="shared" si="202"/>
        <v>71.23012675264394</v>
      </c>
    </row>
    <row r="161" spans="14:65" x14ac:dyDescent="0.3">
      <c r="N161" s="11">
        <v>43</v>
      </c>
      <c r="O161" s="52">
        <f t="shared" si="154"/>
        <v>269.15348039269179</v>
      </c>
      <c r="P161" s="50" t="str">
        <f t="shared" si="155"/>
        <v>23.3035714285714</v>
      </c>
      <c r="Q161" s="18" t="str">
        <f t="shared" si="156"/>
        <v>1+0.641425695488981i</v>
      </c>
      <c r="R161" s="18">
        <f t="shared" si="167"/>
        <v>1.1880348996698384</v>
      </c>
      <c r="S161" s="18">
        <f t="shared" si="168"/>
        <v>0.57032395496056476</v>
      </c>
      <c r="T161" s="18" t="str">
        <f t="shared" si="157"/>
        <v>1+0.00299331991228191i</v>
      </c>
      <c r="U161" s="18">
        <f t="shared" si="169"/>
        <v>1.0000044799720136</v>
      </c>
      <c r="V161" s="18">
        <f t="shared" si="170"/>
        <v>2.9933109723169894E-3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16.4771836197887-10.6427496027434i</v>
      </c>
      <c r="AD161" s="66">
        <f t="shared" si="176"/>
        <v>25.851963488772263</v>
      </c>
      <c r="AE161" s="63">
        <f t="shared" si="177"/>
        <v>-32.85875273402057</v>
      </c>
      <c r="AF161" s="51" t="e">
        <f t="shared" si="178"/>
        <v>#NUM!</v>
      </c>
      <c r="AG161" s="51" t="str">
        <f t="shared" si="160"/>
        <v>1-0.897995973684575i</v>
      </c>
      <c r="AH161" s="51">
        <f t="shared" si="179"/>
        <v>1.3440226072331178</v>
      </c>
      <c r="AI161" s="51">
        <f t="shared" si="180"/>
        <v>-0.73170680098403951</v>
      </c>
      <c r="AJ161" s="51" t="str">
        <f t="shared" si="161"/>
        <v>1+0.00299331991228191i</v>
      </c>
      <c r="AK161" s="51">
        <f t="shared" si="181"/>
        <v>1.0000044799720136</v>
      </c>
      <c r="AL161" s="51">
        <f t="shared" si="182"/>
        <v>2.9933109723169894E-3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17.5913100618457+50.8855371762881i</v>
      </c>
      <c r="BG161" s="66">
        <f t="shared" si="198"/>
        <v>34.622170665915135</v>
      </c>
      <c r="BH161" s="63">
        <f t="shared" si="199"/>
        <v>70.929551421495361</v>
      </c>
      <c r="BI161" s="60" t="e">
        <f t="shared" si="152"/>
        <v>#NUM!</v>
      </c>
      <c r="BJ161" s="66" t="e">
        <f t="shared" si="200"/>
        <v>#NUM!</v>
      </c>
      <c r="BK161" s="63" t="e">
        <f t="shared" si="153"/>
        <v>#NUM!</v>
      </c>
      <c r="BL161" s="51">
        <f t="shared" si="201"/>
        <v>34.622170665915135</v>
      </c>
      <c r="BM161" s="63">
        <f t="shared" si="202"/>
        <v>70.929551421495361</v>
      </c>
    </row>
    <row r="162" spans="14:65" x14ac:dyDescent="0.3">
      <c r="N162" s="11">
        <v>44</v>
      </c>
      <c r="O162" s="52">
        <f t="shared" si="154"/>
        <v>275.42287033381683</v>
      </c>
      <c r="P162" s="50" t="str">
        <f t="shared" si="155"/>
        <v>23.3035714285714</v>
      </c>
      <c r="Q162" s="18" t="str">
        <f t="shared" si="156"/>
        <v>1+0.656366419262684i</v>
      </c>
      <c r="R162" s="18">
        <f t="shared" si="167"/>
        <v>1.1961675787011272</v>
      </c>
      <c r="S162" s="18">
        <f t="shared" si="168"/>
        <v>0.58083772350545226</v>
      </c>
      <c r="T162" s="18" t="str">
        <f t="shared" si="157"/>
        <v>1+0.00306304328989253i</v>
      </c>
      <c r="U162" s="18">
        <f t="shared" si="169"/>
        <v>1.0000046911060947</v>
      </c>
      <c r="V162" s="18">
        <f t="shared" si="170"/>
        <v>3.0630337105499558E-3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16.2523346113537-10.7430677637899i</v>
      </c>
      <c r="AD162" s="66">
        <f t="shared" si="176"/>
        <v>25.792711529794182</v>
      </c>
      <c r="AE162" s="63">
        <f t="shared" si="177"/>
        <v>-33.465377193224228</v>
      </c>
      <c r="AF162" s="51" t="e">
        <f t="shared" si="178"/>
        <v>#NUM!</v>
      </c>
      <c r="AG162" s="51" t="str">
        <f t="shared" si="160"/>
        <v>1-0.91891298696776i</v>
      </c>
      <c r="AH162" s="51">
        <f t="shared" si="179"/>
        <v>1.3580872864503264</v>
      </c>
      <c r="AI162" s="51">
        <f t="shared" si="180"/>
        <v>-0.74316654510023372</v>
      </c>
      <c r="AJ162" s="51" t="str">
        <f t="shared" si="161"/>
        <v>1+0.00306304328989253i</v>
      </c>
      <c r="AK162" s="51">
        <f t="shared" si="181"/>
        <v>1.0000046911060947</v>
      </c>
      <c r="AL162" s="51">
        <f t="shared" si="182"/>
        <v>3.0630337105499558E-3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17.3584659410805+49.3722482084406i</v>
      </c>
      <c r="BG162" s="66">
        <f t="shared" si="198"/>
        <v>34.375817627065231</v>
      </c>
      <c r="BH162" s="63">
        <f t="shared" si="199"/>
        <v>70.629169063505827</v>
      </c>
      <c r="BI162" s="60" t="e">
        <f t="shared" si="152"/>
        <v>#NUM!</v>
      </c>
      <c r="BJ162" s="66" t="e">
        <f t="shared" si="200"/>
        <v>#NUM!</v>
      </c>
      <c r="BK162" s="63" t="e">
        <f t="shared" si="153"/>
        <v>#NUM!</v>
      </c>
      <c r="BL162" s="51">
        <f t="shared" si="201"/>
        <v>34.375817627065231</v>
      </c>
      <c r="BM162" s="63">
        <f t="shared" si="202"/>
        <v>70.629169063505827</v>
      </c>
    </row>
    <row r="163" spans="14:65" x14ac:dyDescent="0.3">
      <c r="N163" s="11">
        <v>45</v>
      </c>
      <c r="O163" s="52">
        <f t="shared" si="154"/>
        <v>281.83829312644554</v>
      </c>
      <c r="P163" s="50" t="str">
        <f t="shared" si="155"/>
        <v>23.3035714285714</v>
      </c>
      <c r="Q163" s="18" t="str">
        <f t="shared" si="156"/>
        <v>1+0.671655157199916i</v>
      </c>
      <c r="R163" s="18">
        <f t="shared" si="167"/>
        <v>1.2046246926712252</v>
      </c>
      <c r="S163" s="18">
        <f t="shared" si="168"/>
        <v>0.5914482271137953</v>
      </c>
      <c r="T163" s="18" t="str">
        <f t="shared" si="157"/>
        <v>1+0.00313439073359961i</v>
      </c>
      <c r="U163" s="18">
        <f t="shared" si="169"/>
        <v>1.0000049121905705</v>
      </c>
      <c r="V163" s="18">
        <f t="shared" si="170"/>
        <v>3.1343804691518337E-3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16.023329142981-10.8394932707593i</v>
      </c>
      <c r="AD163" s="66">
        <f t="shared" si="176"/>
        <v>25.731521670380808</v>
      </c>
      <c r="AE163" s="63">
        <f t="shared" si="177"/>
        <v>-34.077642686881084</v>
      </c>
      <c r="AF163" s="51" t="e">
        <f t="shared" si="178"/>
        <v>#NUM!</v>
      </c>
      <c r="AG163" s="51" t="str">
        <f t="shared" si="160"/>
        <v>1-0.940317220079885i</v>
      </c>
      <c r="AH163" s="51">
        <f t="shared" si="179"/>
        <v>1.3726603638113701</v>
      </c>
      <c r="AI163" s="51">
        <f t="shared" si="180"/>
        <v>-0.75464856877107422</v>
      </c>
      <c r="AJ163" s="51" t="str">
        <f t="shared" si="161"/>
        <v>1+0.00313439073359961i</v>
      </c>
      <c r="AK163" s="51">
        <f t="shared" si="181"/>
        <v>1.0000049121905705</v>
      </c>
      <c r="AL163" s="51">
        <f t="shared" si="182"/>
        <v>3.1343804691518337E-3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17.1213174668418+47.8950666420123i</v>
      </c>
      <c r="BG163" s="66">
        <f t="shared" si="198"/>
        <v>34.128093415991835</v>
      </c>
      <c r="BH163" s="63">
        <f t="shared" si="199"/>
        <v>70.329269841388296</v>
      </c>
      <c r="BI163" s="60" t="e">
        <f t="shared" si="152"/>
        <v>#NUM!</v>
      </c>
      <c r="BJ163" s="66" t="e">
        <f t="shared" si="200"/>
        <v>#NUM!</v>
      </c>
      <c r="BK163" s="63" t="e">
        <f t="shared" si="153"/>
        <v>#NUM!</v>
      </c>
      <c r="BL163" s="51">
        <f t="shared" si="201"/>
        <v>34.128093415991835</v>
      </c>
      <c r="BM163" s="63">
        <f t="shared" si="202"/>
        <v>70.329269841388296</v>
      </c>
    </row>
    <row r="164" spans="14:65" x14ac:dyDescent="0.3">
      <c r="N164" s="11">
        <v>46</v>
      </c>
      <c r="O164" s="52">
        <f t="shared" si="154"/>
        <v>288.40315031266073</v>
      </c>
      <c r="P164" s="50" t="str">
        <f t="shared" si="155"/>
        <v>23.3035714285714</v>
      </c>
      <c r="Q164" s="18" t="str">
        <f t="shared" si="156"/>
        <v>1+0.687300015591903i</v>
      </c>
      <c r="R164" s="18">
        <f t="shared" si="167"/>
        <v>1.2134172041934423</v>
      </c>
      <c r="S164" s="18">
        <f t="shared" si="168"/>
        <v>0.60215153502531849</v>
      </c>
      <c r="T164" s="18" t="str">
        <f t="shared" si="157"/>
        <v>1+0.00320740007276221i</v>
      </c>
      <c r="U164" s="18">
        <f t="shared" si="169"/>
        <v>1.0000051436943846</v>
      </c>
      <c r="V164" s="18">
        <f t="shared" si="170"/>
        <v>3.2073890742113156E-3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15.7903003359863-10.9318168186652i</v>
      </c>
      <c r="AD164" s="66">
        <f t="shared" si="176"/>
        <v>25.668358982230881</v>
      </c>
      <c r="AE164" s="63">
        <f t="shared" si="177"/>
        <v>-34.695326293688794</v>
      </c>
      <c r="AF164" s="51" t="e">
        <f t="shared" si="178"/>
        <v>#NUM!</v>
      </c>
      <c r="AG164" s="51" t="str">
        <f t="shared" si="160"/>
        <v>1-0.962220021828666i</v>
      </c>
      <c r="AH164" s="51">
        <f t="shared" si="179"/>
        <v>1.3877562359463416</v>
      </c>
      <c r="AI164" s="51">
        <f t="shared" si="180"/>
        <v>-0.76614685091208734</v>
      </c>
      <c r="AJ164" s="51" t="str">
        <f t="shared" si="161"/>
        <v>1+0.00320740007276221i</v>
      </c>
      <c r="AK164" s="51">
        <f t="shared" si="181"/>
        <v>1.0000051436943846</v>
      </c>
      <c r="AL164" s="51">
        <f t="shared" si="182"/>
        <v>3.2073890742113156E-3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16.8800024841725+46.4534789434863i</v>
      </c>
      <c r="BG164" s="66">
        <f t="shared" si="198"/>
        <v>33.878986120705306</v>
      </c>
      <c r="BH164" s="63">
        <f t="shared" si="199"/>
        <v>70.030153863731968</v>
      </c>
      <c r="BI164" s="60" t="e">
        <f t="shared" si="152"/>
        <v>#NUM!</v>
      </c>
      <c r="BJ164" s="66" t="e">
        <f t="shared" si="200"/>
        <v>#NUM!</v>
      </c>
      <c r="BK164" s="63" t="e">
        <f t="shared" si="153"/>
        <v>#NUM!</v>
      </c>
      <c r="BL164" s="51">
        <f t="shared" si="201"/>
        <v>33.878986120705306</v>
      </c>
      <c r="BM164" s="63">
        <f t="shared" si="202"/>
        <v>70.030153863731968</v>
      </c>
    </row>
    <row r="165" spans="14:65" x14ac:dyDescent="0.3">
      <c r="N165" s="11">
        <v>47</v>
      </c>
      <c r="O165" s="52">
        <f t="shared" si="154"/>
        <v>295.12092266663871</v>
      </c>
      <c r="P165" s="50" t="str">
        <f t="shared" si="155"/>
        <v>23.3035714285714</v>
      </c>
      <c r="Q165" s="18" t="str">
        <f t="shared" si="156"/>
        <v>1+0.703309289549646i</v>
      </c>
      <c r="R165" s="18">
        <f t="shared" si="167"/>
        <v>1.2225563204886831</v>
      </c>
      <c r="S165" s="18">
        <f t="shared" si="168"/>
        <v>0.61294351282426929</v>
      </c>
      <c r="T165" s="18" t="str">
        <f t="shared" si="157"/>
        <v>1+0.00328211001789835i</v>
      </c>
      <c r="U165" s="18">
        <f t="shared" si="169"/>
        <v>1.0000053861085796</v>
      </c>
      <c r="V165" s="18">
        <f t="shared" si="170"/>
        <v>3.2820982327421652E-3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15.553394704158-11.019833630581i</v>
      </c>
      <c r="AD165" s="66">
        <f t="shared" si="176"/>
        <v>25.603189731670135</v>
      </c>
      <c r="AE165" s="63">
        <f t="shared" si="177"/>
        <v>-35.318193477178497</v>
      </c>
      <c r="AF165" s="51" t="e">
        <f t="shared" si="178"/>
        <v>#NUM!</v>
      </c>
      <c r="AG165" s="51" t="str">
        <f t="shared" si="160"/>
        <v>1-0.984633005369507i</v>
      </c>
      <c r="AH165" s="51">
        <f t="shared" si="179"/>
        <v>1.4033895237114276</v>
      </c>
      <c r="AI165" s="51">
        <f t="shared" si="180"/>
        <v>-0.77765532757027178</v>
      </c>
      <c r="AJ165" s="51" t="str">
        <f t="shared" si="161"/>
        <v>1+0.00328211001789835i</v>
      </c>
      <c r="AK165" s="51">
        <f t="shared" si="181"/>
        <v>1.0000053861085796</v>
      </c>
      <c r="AL165" s="51">
        <f t="shared" si="182"/>
        <v>3.2820982327421652E-3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16.6346727062248+45.0469835104975i</v>
      </c>
      <c r="BG165" s="66">
        <f t="shared" si="198"/>
        <v>33.628485790744321</v>
      </c>
      <c r="BH165" s="63">
        <f t="shared" si="199"/>
        <v>69.73213071747962</v>
      </c>
      <c r="BI165" s="60" t="e">
        <f t="shared" si="152"/>
        <v>#NUM!</v>
      </c>
      <c r="BJ165" s="66" t="e">
        <f t="shared" si="200"/>
        <v>#NUM!</v>
      </c>
      <c r="BK165" s="63" t="e">
        <f t="shared" si="153"/>
        <v>#NUM!</v>
      </c>
      <c r="BL165" s="51">
        <f t="shared" si="201"/>
        <v>33.628485790744321</v>
      </c>
      <c r="BM165" s="63">
        <f t="shared" si="202"/>
        <v>69.73213071747962</v>
      </c>
    </row>
    <row r="166" spans="14:65" x14ac:dyDescent="0.3">
      <c r="N166" s="11">
        <v>48</v>
      </c>
      <c r="O166" s="52">
        <f t="shared" si="154"/>
        <v>301.99517204020168</v>
      </c>
      <c r="P166" s="50" t="str">
        <f t="shared" si="155"/>
        <v>23.3035714285714</v>
      </c>
      <c r="Q166" s="18" t="str">
        <f t="shared" si="156"/>
        <v>1+0.719691467402109i</v>
      </c>
      <c r="R166" s="18">
        <f t="shared" si="167"/>
        <v>1.2320534924472235</v>
      </c>
      <c r="S166" s="18">
        <f t="shared" si="168"/>
        <v>0.62381982738476416</v>
      </c>
      <c r="T166" s="18" t="str">
        <f t="shared" si="157"/>
        <v>1+0.00335856018120984i</v>
      </c>
      <c r="U166" s="18">
        <f t="shared" si="169"/>
        <v>1.0000056399473409</v>
      </c>
      <c r="V166" s="18">
        <f t="shared" si="170"/>
        <v>3.3585475531913195E-3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15.3127720268177-11.1033444626249i</v>
      </c>
      <c r="AD166" s="66">
        <f t="shared" si="176"/>
        <v>25.535981493569132</v>
      </c>
      <c r="AE166" s="63">
        <f t="shared" si="177"/>
        <v>-35.945998370305368</v>
      </c>
      <c r="AF166" s="51" t="e">
        <f t="shared" si="178"/>
        <v>#NUM!</v>
      </c>
      <c r="AG166" s="51" t="str">
        <f t="shared" si="160"/>
        <v>1-1.00756805436295i</v>
      </c>
      <c r="AH166" s="51">
        <f t="shared" si="179"/>
        <v>1.4195750716931954</v>
      </c>
      <c r="AI166" s="51">
        <f t="shared" si="180"/>
        <v>-0.78916790783857094</v>
      </c>
      <c r="AJ166" s="51" t="str">
        <f t="shared" si="161"/>
        <v>1+0.00335856018120984i</v>
      </c>
      <c r="AK166" s="51">
        <f t="shared" si="181"/>
        <v>1.0000056399473409</v>
      </c>
      <c r="AL166" s="51">
        <f t="shared" si="182"/>
        <v>3.3585475531913195E-3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16.3854935827908+43.6750892527384i</v>
      </c>
      <c r="BG166" s="66">
        <f t="shared" si="198"/>
        <v>33.376584561698827</v>
      </c>
      <c r="BH166" s="63">
        <f t="shared" si="199"/>
        <v>69.435518931902422</v>
      </c>
      <c r="BI166" s="60" t="e">
        <f t="shared" si="152"/>
        <v>#NUM!</v>
      </c>
      <c r="BJ166" s="66" t="e">
        <f t="shared" si="200"/>
        <v>#NUM!</v>
      </c>
      <c r="BK166" s="63" t="e">
        <f t="shared" si="153"/>
        <v>#NUM!</v>
      </c>
      <c r="BL166" s="51">
        <f t="shared" si="201"/>
        <v>33.376584561698827</v>
      </c>
      <c r="BM166" s="63">
        <f t="shared" si="202"/>
        <v>69.435518931902422</v>
      </c>
    </row>
    <row r="167" spans="14:65" x14ac:dyDescent="0.3">
      <c r="N167" s="11">
        <v>49</v>
      </c>
      <c r="O167" s="52">
        <f t="shared" si="154"/>
        <v>309.02954325135937</v>
      </c>
      <c r="P167" s="50" t="str">
        <f t="shared" si="155"/>
        <v>23.3035714285714</v>
      </c>
      <c r="Q167" s="18" t="str">
        <f t="shared" si="156"/>
        <v>1+0.73645523519683i</v>
      </c>
      <c r="R167" s="18">
        <f t="shared" si="167"/>
        <v>1.241920413492273</v>
      </c>
      <c r="S167" s="18">
        <f t="shared" si="168"/>
        <v>0.6347759528078909</v>
      </c>
      <c r="T167" s="18" t="str">
        <f t="shared" si="157"/>
        <v>1+0.00343679109758521i</v>
      </c>
      <c r="U167" s="18">
        <f t="shared" si="169"/>
        <v>1.0000059057490853</v>
      </c>
      <c r="V167" s="18">
        <f t="shared" si="170"/>
        <v>3.4367775664238941E-3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15.0686051345609-11.1821566149532i</v>
      </c>
      <c r="AD167" s="66">
        <f t="shared" si="176"/>
        <v>25.466703263806892</v>
      </c>
      <c r="AE167" s="63">
        <f t="shared" si="177"/>
        <v>-36.578484116892298</v>
      </c>
      <c r="AF167" s="51" t="e">
        <f t="shared" si="178"/>
        <v>#NUM!</v>
      </c>
      <c r="AG167" s="51" t="str">
        <f t="shared" si="160"/>
        <v>1-1.03103732927556i</v>
      </c>
      <c r="AH167" s="51">
        <f t="shared" si="179"/>
        <v>1.4363279480535354</v>
      </c>
      <c r="AI167" s="51">
        <f t="shared" si="180"/>
        <v>-0.80067848994391144</v>
      </c>
      <c r="AJ167" s="51" t="str">
        <f t="shared" si="161"/>
        <v>1+0.00343679109758521i</v>
      </c>
      <c r="AK167" s="51">
        <f t="shared" si="181"/>
        <v>1.0000059057490853</v>
      </c>
      <c r="AL167" s="51">
        <f t="shared" si="182"/>
        <v>3.4367775664238941E-3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16.1326440784111+42.3373141752571i</v>
      </c>
      <c r="BG167" s="66">
        <f t="shared" si="198"/>
        <v>33.123276776970926</v>
      </c>
      <c r="BH167" s="63">
        <f t="shared" si="199"/>
        <v>69.140645373402435</v>
      </c>
      <c r="BI167" s="60" t="e">
        <f t="shared" si="152"/>
        <v>#NUM!</v>
      </c>
      <c r="BJ167" s="66" t="e">
        <f t="shared" si="200"/>
        <v>#NUM!</v>
      </c>
      <c r="BK167" s="63" t="e">
        <f t="shared" si="153"/>
        <v>#NUM!</v>
      </c>
      <c r="BL167" s="51">
        <f t="shared" si="201"/>
        <v>33.123276776970926</v>
      </c>
      <c r="BM167" s="63">
        <f t="shared" si="202"/>
        <v>69.140645373402435</v>
      </c>
    </row>
    <row r="168" spans="14:65" x14ac:dyDescent="0.3">
      <c r="N168" s="11">
        <v>50</v>
      </c>
      <c r="O168" s="52">
        <f t="shared" si="154"/>
        <v>316.22776601683825</v>
      </c>
      <c r="P168" s="50" t="str">
        <f t="shared" si="155"/>
        <v>23.3035714285714</v>
      </c>
      <c r="Q168" s="18" t="str">
        <f t="shared" si="156"/>
        <v>1+0.75360948130539i</v>
      </c>
      <c r="R168" s="18">
        <f t="shared" si="167"/>
        <v>1.2521690182692506</v>
      </c>
      <c r="S168" s="18">
        <f t="shared" si="168"/>
        <v>0.64580717735233939</v>
      </c>
      <c r="T168" s="18" t="str">
        <f t="shared" si="157"/>
        <v>1+0.00351684424609182i</v>
      </c>
      <c r="U168" s="18">
        <f t="shared" si="169"/>
        <v>1.0000061840776042</v>
      </c>
      <c r="V168" s="18">
        <f t="shared" si="170"/>
        <v>3.5168297471960906E-3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14.821079605524-11.2560849401944i</v>
      </c>
      <c r="AD168" s="66">
        <f t="shared" si="176"/>
        <v>25.395325569524925</v>
      </c>
      <c r="AE168" s="63">
        <f t="shared" si="177"/>
        <v>-37.21538327002763</v>
      </c>
      <c r="AF168" s="51" t="e">
        <f t="shared" si="178"/>
        <v>#NUM!</v>
      </c>
      <c r="AG168" s="51" t="str">
        <f t="shared" si="160"/>
        <v>1-1.05505327382755i</v>
      </c>
      <c r="AH168" s="51">
        <f t="shared" si="179"/>
        <v>1.4536634447540571</v>
      </c>
      <c r="AI168" s="51">
        <f t="shared" si="180"/>
        <v>-0.81218097740534811</v>
      </c>
      <c r="AJ168" s="51" t="str">
        <f t="shared" si="161"/>
        <v>1+0.00351684424609182i</v>
      </c>
      <c r="AK168" s="51">
        <f t="shared" si="181"/>
        <v>1.0000061840776042</v>
      </c>
      <c r="AL168" s="51">
        <f t="shared" si="182"/>
        <v>3.5168297471960906E-3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15.8763163578276+41.0331839728184i</v>
      </c>
      <c r="BG168" s="66">
        <f t="shared" si="198"/>
        <v>32.868559105859532</v>
      </c>
      <c r="BH168" s="63">
        <f t="shared" si="199"/>
        <v>68.847844571004089</v>
      </c>
      <c r="BI168" s="60" t="e">
        <f t="shared" si="152"/>
        <v>#NUM!</v>
      </c>
      <c r="BJ168" s="66" t="e">
        <f t="shared" si="200"/>
        <v>#NUM!</v>
      </c>
      <c r="BK168" s="63" t="e">
        <f t="shared" si="153"/>
        <v>#NUM!</v>
      </c>
      <c r="BL168" s="51">
        <f t="shared" si="201"/>
        <v>32.868559105859532</v>
      </c>
      <c r="BM168" s="63">
        <f t="shared" si="202"/>
        <v>68.847844571004089</v>
      </c>
    </row>
    <row r="169" spans="14:65" x14ac:dyDescent="0.3">
      <c r="N169" s="11">
        <v>51</v>
      </c>
      <c r="O169" s="52">
        <f t="shared" si="154"/>
        <v>323.59365692962825</v>
      </c>
      <c r="P169" s="50" t="str">
        <f t="shared" si="155"/>
        <v>23.3035714285714</v>
      </c>
      <c r="Q169" s="18" t="str">
        <f t="shared" si="156"/>
        <v>1+0.771163301136139i</v>
      </c>
      <c r="R169" s="18">
        <f t="shared" si="167"/>
        <v>1.262811481187587</v>
      </c>
      <c r="S169" s="18">
        <f t="shared" si="168"/>
        <v>0.65690861135162548</v>
      </c>
      <c r="T169" s="18" t="str">
        <f t="shared" si="157"/>
        <v>1+0.00359876207196865i</v>
      </c>
      <c r="U169" s="18">
        <f t="shared" si="169"/>
        <v>1.0000064755232592</v>
      </c>
      <c r="V169" s="18">
        <f t="shared" si="170"/>
        <v>3.5987465361274045E-3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14.570393370961-11.3249528403474i</v>
      </c>
      <c r="AD169" s="66">
        <f t="shared" si="176"/>
        <v>25.321820576401738</v>
      </c>
      <c r="AE169" s="63">
        <f t="shared" si="177"/>
        <v>-37.856418247020166</v>
      </c>
      <c r="AF169" s="51" t="e">
        <f t="shared" si="178"/>
        <v>#NUM!</v>
      </c>
      <c r="AG169" s="51" t="str">
        <f t="shared" si="160"/>
        <v>1-1.0796286215906i</v>
      </c>
      <c r="AH169" s="51">
        <f t="shared" si="179"/>
        <v>1.4715970781968883</v>
      </c>
      <c r="AI169" s="51">
        <f t="shared" si="180"/>
        <v>-0.82366929515805254</v>
      </c>
      <c r="AJ169" s="51" t="str">
        <f t="shared" si="161"/>
        <v>1+0.00359876207196865i</v>
      </c>
      <c r="AK169" s="51">
        <f t="shared" si="181"/>
        <v>1.0000064755232592</v>
      </c>
      <c r="AL169" s="51">
        <f t="shared" si="182"/>
        <v>3.5987465361274045E-3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15.6167153775222+39.7622306444376i</v>
      </c>
      <c r="BG169" s="66">
        <f t="shared" si="198"/>
        <v>32.612430657034295</v>
      </c>
      <c r="BH169" s="63">
        <f t="shared" si="199"/>
        <v>68.55745797295576</v>
      </c>
      <c r="BI169" s="60" t="e">
        <f t="shared" si="152"/>
        <v>#NUM!</v>
      </c>
      <c r="BJ169" s="66" t="e">
        <f t="shared" si="200"/>
        <v>#NUM!</v>
      </c>
      <c r="BK169" s="63" t="e">
        <f t="shared" si="153"/>
        <v>#NUM!</v>
      </c>
      <c r="BL169" s="51">
        <f t="shared" si="201"/>
        <v>32.612430657034295</v>
      </c>
      <c r="BM169" s="63">
        <f t="shared" si="202"/>
        <v>68.55745797295576</v>
      </c>
    </row>
    <row r="170" spans="14:65" x14ac:dyDescent="0.3">
      <c r="N170" s="11">
        <v>52</v>
      </c>
      <c r="O170" s="52">
        <f t="shared" si="154"/>
        <v>331.13112148259137</v>
      </c>
      <c r="P170" s="50" t="str">
        <f t="shared" si="155"/>
        <v>23.3035714285714</v>
      </c>
      <c r="Q170" s="18" t="str">
        <f t="shared" si="156"/>
        <v>1+0.789126001956707i</v>
      </c>
      <c r="R170" s="18">
        <f t="shared" si="167"/>
        <v>1.2738602148446967</v>
      </c>
      <c r="S170" s="18">
        <f t="shared" si="168"/>
        <v>0.66807519610205246</v>
      </c>
      <c r="T170" s="18" t="str">
        <f t="shared" si="157"/>
        <v>1+0.0036825880091313i</v>
      </c>
      <c r="U170" s="18">
        <f t="shared" si="169"/>
        <v>1.0000067807042334</v>
      </c>
      <c r="V170" s="18">
        <f t="shared" si="170"/>
        <v>3.6825713621835786E-3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14.3167562299209-11.3885932428736i</v>
      </c>
      <c r="AD170" s="66">
        <f t="shared" si="176"/>
        <v>25.246162192171781</v>
      </c>
      <c r="AE170" s="63">
        <f t="shared" si="177"/>
        <v>-38.501301840004899</v>
      </c>
      <c r="AF170" s="51" t="e">
        <f t="shared" si="178"/>
        <v>#NUM!</v>
      </c>
      <c r="AG170" s="51" t="str">
        <f t="shared" si="160"/>
        <v>1-1.10477640273939i</v>
      </c>
      <c r="AH170" s="51">
        <f t="shared" si="179"/>
        <v>1.4901445903165862</v>
      </c>
      <c r="AI170" s="51">
        <f t="shared" si="180"/>
        <v>-0.83513740553928273</v>
      </c>
      <c r="AJ170" s="51" t="str">
        <f t="shared" si="161"/>
        <v>1+0.0036825880091313i</v>
      </c>
      <c r="AK170" s="51">
        <f t="shared" si="181"/>
        <v>1.0000067807042334</v>
      </c>
      <c r="AL170" s="51">
        <f t="shared" si="182"/>
        <v>3.6825713621835786E-3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15.3540583831233+38.5239911374938i</v>
      </c>
      <c r="BG170" s="66">
        <f t="shared" si="198"/>
        <v>32.354893086448115</v>
      </c>
      <c r="BH170" s="63">
        <f t="shared" si="199"/>
        <v>68.269833135450952</v>
      </c>
      <c r="BI170" s="60" t="e">
        <f t="shared" si="152"/>
        <v>#NUM!</v>
      </c>
      <c r="BJ170" s="66" t="e">
        <f t="shared" si="200"/>
        <v>#NUM!</v>
      </c>
      <c r="BK170" s="63" t="e">
        <f t="shared" si="153"/>
        <v>#NUM!</v>
      </c>
      <c r="BL170" s="51">
        <f t="shared" si="201"/>
        <v>32.354893086448115</v>
      </c>
      <c r="BM170" s="63">
        <f t="shared" si="202"/>
        <v>68.269833135450952</v>
      </c>
    </row>
    <row r="171" spans="14:65" x14ac:dyDescent="0.3">
      <c r="N171" s="11">
        <v>53</v>
      </c>
      <c r="O171" s="52">
        <f t="shared" si="154"/>
        <v>338.84415613920277</v>
      </c>
      <c r="P171" s="50" t="str">
        <f t="shared" si="155"/>
        <v>23.3035714285714</v>
      </c>
      <c r="Q171" s="18" t="str">
        <f t="shared" si="156"/>
        <v>1+0.807507107828823i</v>
      </c>
      <c r="R171" s="18">
        <f t="shared" si="167"/>
        <v>1.2853278683643603</v>
      </c>
      <c r="S171" s="18">
        <f t="shared" si="168"/>
        <v>0.67930171369629322</v>
      </c>
      <c r="T171" s="18" t="str">
        <f t="shared" si="157"/>
        <v>1+0.00376836650320118i</v>
      </c>
      <c r="U171" s="18">
        <f t="shared" si="169"/>
        <v>1.0000071002678443</v>
      </c>
      <c r="V171" s="18">
        <f t="shared" si="170"/>
        <v>3.7683486656821634E-3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14.0603892738812-11.4468495465414i</v>
      </c>
      <c r="AD171" s="66">
        <f t="shared" si="176"/>
        <v>25.168326165615099</v>
      </c>
      <c r="AE171" s="63">
        <f t="shared" si="177"/>
        <v>-39.149737780760923</v>
      </c>
      <c r="AF171" s="51" t="e">
        <f t="shared" si="178"/>
        <v>#NUM!</v>
      </c>
      <c r="AG171" s="51" t="str">
        <f t="shared" si="160"/>
        <v>1-1.13050995096036i</v>
      </c>
      <c r="AH171" s="51">
        <f t="shared" si="179"/>
        <v>1.5093219501552328</v>
      </c>
      <c r="AI171" s="51">
        <f t="shared" si="180"/>
        <v>-0.84657932403408087</v>
      </c>
      <c r="AJ171" s="51" t="str">
        <f t="shared" si="161"/>
        <v>1+0.00376836650320118i</v>
      </c>
      <c r="AK171" s="51">
        <f t="shared" si="181"/>
        <v>1.0000071002678443</v>
      </c>
      <c r="AL171" s="51">
        <f t="shared" si="182"/>
        <v>3.7683486656821634E-3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15.0885743135692+37.3180060310208i</v>
      </c>
      <c r="BG171" s="66">
        <f t="shared" si="198"/>
        <v>32.095950698735145</v>
      </c>
      <c r="BH171" s="63">
        <f t="shared" si="199"/>
        <v>67.985322845087538</v>
      </c>
      <c r="BI171" s="60" t="e">
        <f t="shared" si="152"/>
        <v>#NUM!</v>
      </c>
      <c r="BJ171" s="66" t="e">
        <f t="shared" si="200"/>
        <v>#NUM!</v>
      </c>
      <c r="BK171" s="63" t="e">
        <f t="shared" si="153"/>
        <v>#NUM!</v>
      </c>
      <c r="BL171" s="51">
        <f t="shared" si="201"/>
        <v>32.095950698735145</v>
      </c>
      <c r="BM171" s="63">
        <f t="shared" si="202"/>
        <v>67.985322845087538</v>
      </c>
    </row>
    <row r="172" spans="14:65" x14ac:dyDescent="0.3">
      <c r="N172" s="11">
        <v>54</v>
      </c>
      <c r="O172" s="52">
        <f t="shared" si="154"/>
        <v>346.73685045253183</v>
      </c>
      <c r="P172" s="50" t="str">
        <f t="shared" si="155"/>
        <v>23.3035714285714</v>
      </c>
      <c r="Q172" s="18" t="str">
        <f t="shared" si="156"/>
        <v>1+0.826316364658135i</v>
      </c>
      <c r="R172" s="18">
        <f t="shared" si="167"/>
        <v>1.2972273256842208</v>
      </c>
      <c r="S172" s="18">
        <f t="shared" si="168"/>
        <v>0.69058279776824261</v>
      </c>
      <c r="T172" s="18" t="str">
        <f t="shared" si="157"/>
        <v>1+0.0038561430350713i</v>
      </c>
      <c r="U172" s="18">
        <f t="shared" si="169"/>
        <v>1.0000074348919146</v>
      </c>
      <c r="V172" s="18">
        <f t="shared" si="170"/>
        <v>3.8561239218329909E-3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13.8015242232972-11.4995765275501i</v>
      </c>
      <c r="AD172" s="66">
        <f t="shared" si="176"/>
        <v>25.088290180256987</v>
      </c>
      <c r="AE172" s="63">
        <f t="shared" si="177"/>
        <v>-39.801421357772803</v>
      </c>
      <c r="AF172" s="51" t="e">
        <f t="shared" si="178"/>
        <v>#NUM!</v>
      </c>
      <c r="AG172" s="51" t="str">
        <f t="shared" si="160"/>
        <v>1-1.15684291052139i</v>
      </c>
      <c r="AH172" s="51">
        <f t="shared" si="179"/>
        <v>1.5291453559500485</v>
      </c>
      <c r="AI172" s="51">
        <f t="shared" si="180"/>
        <v>-0.8579891346813604</v>
      </c>
      <c r="AJ172" s="51" t="str">
        <f t="shared" si="161"/>
        <v>1+0.0038561430350713i</v>
      </c>
      <c r="AK172" s="51">
        <f t="shared" si="181"/>
        <v>1.0000074348919146</v>
      </c>
      <c r="AL172" s="51">
        <f t="shared" si="182"/>
        <v>3.8561239218329909E-3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14.8205031140546+36.1438182678078i</v>
      </c>
      <c r="BG172" s="66">
        <f t="shared" si="198"/>
        <v>31.835610541145115</v>
      </c>
      <c r="BH172" s="63">
        <f t="shared" si="199"/>
        <v>67.704284177311877</v>
      </c>
      <c r="BI172" s="60" t="e">
        <f t="shared" si="152"/>
        <v>#NUM!</v>
      </c>
      <c r="BJ172" s="66" t="e">
        <f t="shared" si="200"/>
        <v>#NUM!</v>
      </c>
      <c r="BK172" s="63" t="e">
        <f t="shared" si="153"/>
        <v>#NUM!</v>
      </c>
      <c r="BL172" s="51">
        <f t="shared" si="201"/>
        <v>31.835610541145115</v>
      </c>
      <c r="BM172" s="63">
        <f t="shared" si="202"/>
        <v>67.704284177311877</v>
      </c>
    </row>
    <row r="173" spans="14:65" x14ac:dyDescent="0.3">
      <c r="N173" s="11">
        <v>55</v>
      </c>
      <c r="O173" s="52">
        <f t="shared" si="154"/>
        <v>354.81338923357566</v>
      </c>
      <c r="P173" s="50" t="str">
        <f t="shared" si="155"/>
        <v>23.3035714285714</v>
      </c>
      <c r="Q173" s="18" t="str">
        <f t="shared" si="156"/>
        <v>1+0.845563745361577i</v>
      </c>
      <c r="R173" s="18">
        <f t="shared" si="167"/>
        <v>1.3095717038291175</v>
      </c>
      <c r="S173" s="18">
        <f t="shared" si="168"/>
        <v>0.70191294510538338</v>
      </c>
      <c r="T173" s="18" t="str">
        <f t="shared" si="157"/>
        <v>1+0.00394596414502069i</v>
      </c>
      <c r="U173" s="18">
        <f t="shared" si="169"/>
        <v>1.0000077852862115</v>
      </c>
      <c r="V173" s="18">
        <f t="shared" si="170"/>
        <v>3.9459436648254676E-3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13.5404026791484-11.5466411965663i</v>
      </c>
      <c r="AD173" s="66">
        <f t="shared" si="176"/>
        <v>25.006033942037178</v>
      </c>
      <c r="AE173" s="63">
        <f t="shared" si="177"/>
        <v>-40.456040083029521</v>
      </c>
      <c r="AF173" s="51" t="e">
        <f t="shared" si="178"/>
        <v>#NUM!</v>
      </c>
      <c r="AG173" s="51" t="str">
        <f t="shared" si="160"/>
        <v>1-1.18378924350621i</v>
      </c>
      <c r="AH173" s="51">
        <f t="shared" si="179"/>
        <v>1.5496312377598114</v>
      </c>
      <c r="AI173" s="51">
        <f t="shared" si="180"/>
        <v>-0.86936100504507119</v>
      </c>
      <c r="AJ173" s="51" t="str">
        <f t="shared" si="161"/>
        <v>1+0.00394596414502069i</v>
      </c>
      <c r="AK173" s="51">
        <f t="shared" si="181"/>
        <v>1.0000077852862115</v>
      </c>
      <c r="AL173" s="51">
        <f t="shared" si="182"/>
        <v>3.9459436648254676E-3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14.5500949609504+35.0009719448286i</v>
      </c>
      <c r="BG173" s="66">
        <f t="shared" si="198"/>
        <v>31.573882489079672</v>
      </c>
      <c r="BH173" s="63">
        <f t="shared" si="199"/>
        <v>67.427077493721853</v>
      </c>
      <c r="BI173" s="60" t="e">
        <f t="shared" si="152"/>
        <v>#NUM!</v>
      </c>
      <c r="BJ173" s="66" t="e">
        <f t="shared" si="200"/>
        <v>#NUM!</v>
      </c>
      <c r="BK173" s="63" t="e">
        <f t="shared" si="153"/>
        <v>#NUM!</v>
      </c>
      <c r="BL173" s="51">
        <f t="shared" si="201"/>
        <v>31.573882489079672</v>
      </c>
      <c r="BM173" s="63">
        <f t="shared" si="202"/>
        <v>67.427077493721853</v>
      </c>
    </row>
    <row r="174" spans="14:65" x14ac:dyDescent="0.3">
      <c r="N174" s="11">
        <v>56</v>
      </c>
      <c r="O174" s="52">
        <f t="shared" si="154"/>
        <v>363.07805477010152</v>
      </c>
      <c r="P174" s="50" t="str">
        <f t="shared" si="155"/>
        <v>23.3035714285714</v>
      </c>
      <c r="Q174" s="18" t="str">
        <f t="shared" si="156"/>
        <v>1+0.865259455155173i</v>
      </c>
      <c r="R174" s="18">
        <f t="shared" si="167"/>
        <v>1.3223743512090012</v>
      </c>
      <c r="S174" s="18">
        <f t="shared" si="168"/>
        <v>0.71328652807598847</v>
      </c>
      <c r="T174" s="18" t="str">
        <f t="shared" si="157"/>
        <v>1+0.00403787745739081i</v>
      </c>
      <c r="U174" s="18">
        <f t="shared" si="169"/>
        <v>1.0000081521939512</v>
      </c>
      <c r="V174" s="18">
        <f t="shared" si="170"/>
        <v>4.0378555124759167E-3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13.2772752936847-11.587923597568i</v>
      </c>
      <c r="AD174" s="66">
        <f t="shared" si="176"/>
        <v>24.921539260240007</v>
      </c>
      <c r="AE174" s="63">
        <f t="shared" si="177"/>
        <v>-41.113274405545852</v>
      </c>
      <c r="AF174" s="51" t="e">
        <f t="shared" si="178"/>
        <v>#NUM!</v>
      </c>
      <c r="AG174" s="51" t="str">
        <f t="shared" si="160"/>
        <v>1-1.21136323721724i</v>
      </c>
      <c r="AH174" s="51">
        <f t="shared" si="179"/>
        <v>1.5707962606529948</v>
      </c>
      <c r="AI174" s="51">
        <f t="shared" si="180"/>
        <v>-0.88068920066014555</v>
      </c>
      <c r="AJ174" s="51" t="str">
        <f t="shared" si="161"/>
        <v>1+0.00403787745739081i</v>
      </c>
      <c r="AK174" s="51">
        <f t="shared" si="181"/>
        <v>1.0000081521939512</v>
      </c>
      <c r="AL174" s="51">
        <f t="shared" si="182"/>
        <v>4.0378555124759167E-3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14.2776094030531+33.8890111712631i</v>
      </c>
      <c r="BG174" s="66">
        <f t="shared" si="198"/>
        <v>31.310779322323924</v>
      </c>
      <c r="BH174" s="63">
        <f t="shared" si="199"/>
        <v>67.154065381730447</v>
      </c>
      <c r="BI174" s="60" t="e">
        <f t="shared" si="152"/>
        <v>#NUM!</v>
      </c>
      <c r="BJ174" s="66" t="e">
        <f t="shared" si="200"/>
        <v>#NUM!</v>
      </c>
      <c r="BK174" s="63" t="e">
        <f t="shared" si="153"/>
        <v>#NUM!</v>
      </c>
      <c r="BL174" s="51">
        <f t="shared" si="201"/>
        <v>31.310779322323924</v>
      </c>
      <c r="BM174" s="63">
        <f t="shared" si="202"/>
        <v>67.154065381730447</v>
      </c>
    </row>
    <row r="175" spans="14:65" x14ac:dyDescent="0.3">
      <c r="N175" s="11">
        <v>57</v>
      </c>
      <c r="O175" s="52">
        <f t="shared" si="154"/>
        <v>371.53522909717265</v>
      </c>
      <c r="P175" s="50" t="str">
        <f t="shared" si="155"/>
        <v>23.3035714285714</v>
      </c>
      <c r="Q175" s="18" t="str">
        <f t="shared" si="156"/>
        <v>1+0.885413936964951i</v>
      </c>
      <c r="R175" s="18">
        <f t="shared" si="167"/>
        <v>1.335648845981523</v>
      </c>
      <c r="S175" s="18">
        <f t="shared" si="168"/>
        <v>0.72469780780954907</v>
      </c>
      <c r="T175" s="18" t="str">
        <f t="shared" si="157"/>
        <v>1+0.00413193170583644i</v>
      </c>
      <c r="U175" s="18">
        <f t="shared" si="169"/>
        <v>1.0000085363933757</v>
      </c>
      <c r="V175" s="18">
        <f t="shared" si="170"/>
        <v>4.1319081914473208E-3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13.0124008656782-11.6233175397954i</v>
      </c>
      <c r="AD175" s="66">
        <f t="shared" si="176"/>
        <v>24.834790121018003</v>
      </c>
      <c r="AE175" s="63">
        <f t="shared" si="177"/>
        <v>-41.772798468072914</v>
      </c>
      <c r="AF175" s="51" t="e">
        <f t="shared" si="178"/>
        <v>#NUM!</v>
      </c>
      <c r="AG175" s="51" t="str">
        <f t="shared" si="160"/>
        <v>1-1.23957951175093i</v>
      </c>
      <c r="AH175" s="51">
        <f t="shared" si="179"/>
        <v>1.5926573284773704</v>
      </c>
      <c r="AI175" s="51">
        <f t="shared" si="180"/>
        <v>-0.89196809886913919</v>
      </c>
      <c r="AJ175" s="51" t="str">
        <f t="shared" si="161"/>
        <v>1+0.00413193170583644i</v>
      </c>
      <c r="AK175" s="51">
        <f t="shared" si="181"/>
        <v>1.0000085363933757</v>
      </c>
      <c r="AL175" s="51">
        <f t="shared" si="182"/>
        <v>4.1319081914473208E-3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14.0033144246543+32.8074790029554i</v>
      </c>
      <c r="BG175" s="66">
        <f t="shared" si="198"/>
        <v>31.046316791102701</v>
      </c>
      <c r="BH175" s="63">
        <f t="shared" si="199"/>
        <v>66.885611540715203</v>
      </c>
      <c r="BI175" s="60" t="e">
        <f t="shared" si="152"/>
        <v>#NUM!</v>
      </c>
      <c r="BJ175" s="66" t="e">
        <f t="shared" si="200"/>
        <v>#NUM!</v>
      </c>
      <c r="BK175" s="63" t="e">
        <f t="shared" si="153"/>
        <v>#NUM!</v>
      </c>
      <c r="BL175" s="51">
        <f t="shared" si="201"/>
        <v>31.046316791102701</v>
      </c>
      <c r="BM175" s="63">
        <f t="shared" si="202"/>
        <v>66.885611540715203</v>
      </c>
    </row>
    <row r="176" spans="14:65" x14ac:dyDescent="0.3">
      <c r="N176" s="11">
        <v>58</v>
      </c>
      <c r="O176" s="52">
        <f t="shared" si="154"/>
        <v>380.18939632056163</v>
      </c>
      <c r="P176" s="50" t="str">
        <f t="shared" si="155"/>
        <v>23.3035714285714</v>
      </c>
      <c r="Q176" s="18" t="str">
        <f t="shared" si="156"/>
        <v>1+0.906037876963948i</v>
      </c>
      <c r="R176" s="18">
        <f t="shared" si="167"/>
        <v>1.3494089945206895</v>
      </c>
      <c r="S176" s="18">
        <f t="shared" si="168"/>
        <v>0.73614094806066421</v>
      </c>
      <c r="T176" s="18" t="str">
        <f t="shared" si="157"/>
        <v>1+0.00422817675916509i</v>
      </c>
      <c r="U176" s="18">
        <f t="shared" si="169"/>
        <v>1.0000089386994031</v>
      </c>
      <c r="V176" s="18">
        <f t="shared" si="170"/>
        <v>4.2281515630553622E-3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12.7460453665357-11.6527312546642i</v>
      </c>
      <c r="AD176" s="66">
        <f t="shared" si="176"/>
        <v>24.74577275288922</v>
      </c>
      <c r="AE176" s="63">
        <f t="shared" si="177"/>
        <v>-42.434280903005138</v>
      </c>
      <c r="AF176" s="51" t="e">
        <f t="shared" si="178"/>
        <v>#NUM!</v>
      </c>
      <c r="AG176" s="51" t="str">
        <f t="shared" si="160"/>
        <v>1-1.26845302774953i</v>
      </c>
      <c r="AH176" s="51">
        <f t="shared" si="179"/>
        <v>1.6152315882271959</v>
      </c>
      <c r="AI176" s="51">
        <f t="shared" si="180"/>
        <v>-0.90319220197233174</v>
      </c>
      <c r="AJ176" s="51" t="str">
        <f t="shared" si="161"/>
        <v>1+0.00422817675916509i</v>
      </c>
      <c r="AK176" s="51">
        <f t="shared" si="181"/>
        <v>1.0000089386994031</v>
      </c>
      <c r="AL176" s="51">
        <f t="shared" si="182"/>
        <v>4.2281515630553622E-3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13.7274854370111+31.7559164615677i</v>
      </c>
      <c r="BG176" s="66">
        <f t="shared" si="198"/>
        <v>30.780513671134425</v>
      </c>
      <c r="BH176" s="63">
        <f t="shared" si="199"/>
        <v>66.622079619375853</v>
      </c>
      <c r="BI176" s="60" t="e">
        <f t="shared" si="152"/>
        <v>#NUM!</v>
      </c>
      <c r="BJ176" s="66" t="e">
        <f t="shared" si="200"/>
        <v>#NUM!</v>
      </c>
      <c r="BK176" s="63" t="e">
        <f t="shared" si="153"/>
        <v>#NUM!</v>
      </c>
      <c r="BL176" s="51">
        <f t="shared" si="201"/>
        <v>30.780513671134425</v>
      </c>
      <c r="BM176" s="63">
        <f t="shared" si="202"/>
        <v>66.622079619375853</v>
      </c>
    </row>
    <row r="177" spans="14:65" x14ac:dyDescent="0.3">
      <c r="N177" s="11">
        <v>59</v>
      </c>
      <c r="O177" s="52">
        <f t="shared" si="154"/>
        <v>389.04514499428063</v>
      </c>
      <c r="P177" s="50" t="str">
        <f t="shared" si="155"/>
        <v>23.3035714285714</v>
      </c>
      <c r="Q177" s="18" t="str">
        <f t="shared" si="156"/>
        <v>1+0.92714221023814i</v>
      </c>
      <c r="R177" s="18">
        <f t="shared" si="167"/>
        <v>1.3636688300336206</v>
      </c>
      <c r="S177" s="18">
        <f t="shared" si="168"/>
        <v>0.7476100296788325</v>
      </c>
      <c r="T177" s="18" t="str">
        <f t="shared" si="157"/>
        <v>1+0.00432666364777799i</v>
      </c>
      <c r="U177" s="18">
        <f t="shared" si="169"/>
        <v>1.0000093599653561</v>
      </c>
      <c r="V177" s="18">
        <f t="shared" si="170"/>
        <v>4.3266366496736474E-3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12.4784809046234-11.6760879701963i</v>
      </c>
      <c r="AD177" s="66">
        <f t="shared" si="176"/>
        <v>24.654475683650663</v>
      </c>
      <c r="AE177" s="63">
        <f t="shared" si="177"/>
        <v>-43.097385663037585</v>
      </c>
      <c r="AF177" s="51" t="e">
        <f t="shared" si="178"/>
        <v>#NUM!</v>
      </c>
      <c r="AG177" s="51" t="str">
        <f t="shared" si="160"/>
        <v>1-1.2979990943334i</v>
      </c>
      <c r="AH177" s="51">
        <f t="shared" si="179"/>
        <v>1.6385364350206946</v>
      </c>
      <c r="AI177" s="51">
        <f t="shared" si="180"/>
        <v>-0.91435614962180156</v>
      </c>
      <c r="AJ177" s="51" t="str">
        <f t="shared" si="161"/>
        <v>1+0.00432666364777799i</v>
      </c>
      <c r="AK177" s="51">
        <f t="shared" si="181"/>
        <v>1.0000093599653561</v>
      </c>
      <c r="AL177" s="51">
        <f t="shared" si="182"/>
        <v>4.3266366496736474E-3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13.4504042058327+30.7338616459985i</v>
      </c>
      <c r="BG177" s="66">
        <f t="shared" si="198"/>
        <v>30.513391806919842</v>
      </c>
      <c r="BH177" s="63">
        <f t="shared" si="199"/>
        <v>66.363832009595271</v>
      </c>
      <c r="BI177" s="60" t="e">
        <f t="shared" si="152"/>
        <v>#NUM!</v>
      </c>
      <c r="BJ177" s="66" t="e">
        <f t="shared" si="200"/>
        <v>#NUM!</v>
      </c>
      <c r="BK177" s="63" t="e">
        <f t="shared" si="153"/>
        <v>#NUM!</v>
      </c>
      <c r="BL177" s="51">
        <f t="shared" si="201"/>
        <v>30.513391806919842</v>
      </c>
      <c r="BM177" s="63">
        <f t="shared" si="202"/>
        <v>66.363832009595271</v>
      </c>
    </row>
    <row r="178" spans="14:65" x14ac:dyDescent="0.3">
      <c r="N178" s="11">
        <v>60</v>
      </c>
      <c r="O178" s="52">
        <f t="shared" si="154"/>
        <v>398.10717055349761</v>
      </c>
      <c r="P178" s="50" t="str">
        <f t="shared" si="155"/>
        <v>23.3035714285714</v>
      </c>
      <c r="Q178" s="18" t="str">
        <f t="shared" si="156"/>
        <v>1+0.948738126584376i</v>
      </c>
      <c r="R178" s="18">
        <f t="shared" si="167"/>
        <v>1.3784426113679276</v>
      </c>
      <c r="S178" s="18">
        <f t="shared" si="168"/>
        <v>0.75909906559976192</v>
      </c>
      <c r="T178" s="18" t="str">
        <f t="shared" si="157"/>
        <v>1+0.00442744459072709i</v>
      </c>
      <c r="U178" s="18">
        <f t="shared" si="169"/>
        <v>1.0000098010847713</v>
      </c>
      <c r="V178" s="18">
        <f t="shared" si="170"/>
        <v>4.4274156617523947E-3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12.2099846360481-11.6933263963513i</v>
      </c>
      <c r="AD178" s="66">
        <f t="shared" si="176"/>
        <v>24.560889788212748</v>
      </c>
      <c r="AE178" s="63">
        <f t="shared" si="177"/>
        <v>-43.761772881743113</v>
      </c>
      <c r="AF178" s="51" t="e">
        <f t="shared" si="178"/>
        <v>#NUM!</v>
      </c>
      <c r="AG178" s="51" t="str">
        <f t="shared" si="160"/>
        <v>1-1.32823337721813i</v>
      </c>
      <c r="AH178" s="51">
        <f t="shared" si="179"/>
        <v>1.6625895176971011</v>
      </c>
      <c r="AI178" s="51">
        <f t="shared" si="180"/>
        <v>-0.92545473039832371</v>
      </c>
      <c r="AJ178" s="51" t="str">
        <f t="shared" si="161"/>
        <v>1+0.00442744459072709i</v>
      </c>
      <c r="AK178" s="51">
        <f t="shared" si="181"/>
        <v>1.0000098010847713</v>
      </c>
      <c r="AL178" s="51">
        <f t="shared" si="182"/>
        <v>4.4274156617523947E-3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13.1723577233202+29.7408489427442i</v>
      </c>
      <c r="BG178" s="66">
        <f t="shared" si="198"/>
        <v>30.244976142561562</v>
      </c>
      <c r="BH178" s="63">
        <f t="shared" si="199"/>
        <v>66.11122860263508</v>
      </c>
      <c r="BI178" s="60" t="e">
        <f t="shared" ref="BI178:BI241" si="203">IMPRODUCT(AP178,BC178)</f>
        <v>#NUM!</v>
      </c>
      <c r="BJ178" s="66" t="e">
        <f t="shared" si="200"/>
        <v>#NUM!</v>
      </c>
      <c r="BK178" s="63" t="e">
        <f t="shared" ref="BK178:BK241" si="204">(180/PI())*IMARGUMENT(BI178)</f>
        <v>#NUM!</v>
      </c>
      <c r="BL178" s="51">
        <f t="shared" si="201"/>
        <v>30.244976142561562</v>
      </c>
      <c r="BM178" s="63">
        <f t="shared" si="202"/>
        <v>66.11122860263508</v>
      </c>
    </row>
    <row r="179" spans="14:65" x14ac:dyDescent="0.3">
      <c r="N179" s="11">
        <v>61</v>
      </c>
      <c r="O179" s="52">
        <f t="shared" si="154"/>
        <v>407.38027780411272</v>
      </c>
      <c r="P179" s="50" t="str">
        <f t="shared" si="155"/>
        <v>23.3035714285714</v>
      </c>
      <c r="Q179" s="18" t="str">
        <f t="shared" si="156"/>
        <v>1+0.970837076443364i</v>
      </c>
      <c r="R179" s="18">
        <f t="shared" si="167"/>
        <v>1.3937448220521209</v>
      </c>
      <c r="S179" s="18">
        <f t="shared" si="168"/>
        <v>0.77060201626770986</v>
      </c>
      <c r="T179" s="18" t="str">
        <f t="shared" si="157"/>
        <v>1+0.00453057302340237i</v>
      </c>
      <c r="U179" s="18">
        <f t="shared" si="169"/>
        <v>1.0000102629932957</v>
      </c>
      <c r="V179" s="18">
        <f t="shared" si="170"/>
        <v>4.5305420254646853E-3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11.9408376309402-11.704401115597i</v>
      </c>
      <c r="AD179" s="66">
        <f t="shared" si="176"/>
        <v>24.465008326937262</v>
      </c>
      <c r="AE179" s="63">
        <f t="shared" si="177"/>
        <v>-44.427099758882619</v>
      </c>
      <c r="AF179" s="51" t="e">
        <f t="shared" si="178"/>
        <v>#NUM!</v>
      </c>
      <c r="AG179" s="51" t="str">
        <f t="shared" si="160"/>
        <v>1-1.35917190702071i</v>
      </c>
      <c r="AH179" s="51">
        <f t="shared" si="179"/>
        <v>1.6874087450390653</v>
      </c>
      <c r="AI179" s="51">
        <f t="shared" si="180"/>
        <v>-0.93648289251867489</v>
      </c>
      <c r="AJ179" s="51" t="str">
        <f t="shared" si="161"/>
        <v>1+0.00453057302340237i</v>
      </c>
      <c r="AK179" s="51">
        <f t="shared" si="181"/>
        <v>1.0000102629932957</v>
      </c>
      <c r="AL179" s="51">
        <f t="shared" si="182"/>
        <v>4.5305420254646853E-3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12.893637034122+28.7764083409251i</v>
      </c>
      <c r="BG179" s="66">
        <f t="shared" si="198"/>
        <v>29.975294739491943</v>
      </c>
      <c r="BH179" s="63">
        <f t="shared" si="199"/>
        <v>65.864625514001133</v>
      </c>
      <c r="BI179" s="60" t="e">
        <f t="shared" si="203"/>
        <v>#NUM!</v>
      </c>
      <c r="BJ179" s="66" t="e">
        <f t="shared" si="200"/>
        <v>#NUM!</v>
      </c>
      <c r="BK179" s="63" t="e">
        <f t="shared" si="204"/>
        <v>#NUM!</v>
      </c>
      <c r="BL179" s="51">
        <f t="shared" si="201"/>
        <v>29.975294739491943</v>
      </c>
      <c r="BM179" s="63">
        <f t="shared" si="202"/>
        <v>65.864625514001133</v>
      </c>
    </row>
    <row r="180" spans="14:65" x14ac:dyDescent="0.3">
      <c r="N180" s="11">
        <v>62</v>
      </c>
      <c r="O180" s="52">
        <f t="shared" si="154"/>
        <v>416.86938347033572</v>
      </c>
      <c r="P180" s="50" t="str">
        <f t="shared" si="155"/>
        <v>23.3035714285714</v>
      </c>
      <c r="Q180" s="18" t="str">
        <f t="shared" si="156"/>
        <v>1+0.993450776970831i</v>
      </c>
      <c r="R180" s="18">
        <f t="shared" si="167"/>
        <v>1.4095901696109929</v>
      </c>
      <c r="S180" s="18">
        <f t="shared" si="168"/>
        <v>0.78211280539331318</v>
      </c>
      <c r="T180" s="18" t="str">
        <f t="shared" si="157"/>
        <v>1+0.00463610362586388i</v>
      </c>
      <c r="U180" s="18">
        <f t="shared" si="169"/>
        <v>1.0000107466706694</v>
      </c>
      <c r="V180" s="18">
        <f t="shared" si="170"/>
        <v>4.6360704109945066E-3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11.6713237049485-11.7092828741122i</v>
      </c>
      <c r="AD180" s="66">
        <f t="shared" si="176"/>
        <v>24.36682697413929</v>
      </c>
      <c r="AE180" s="63">
        <f t="shared" si="177"/>
        <v>-45.093021464975386</v>
      </c>
      <c r="AF180" s="51" t="e">
        <f t="shared" si="178"/>
        <v>#NUM!</v>
      </c>
      <c r="AG180" s="51" t="str">
        <f t="shared" si="160"/>
        <v>1-1.39083108775917i</v>
      </c>
      <c r="AH180" s="51">
        <f t="shared" si="179"/>
        <v>1.7130122926229561</v>
      </c>
      <c r="AI180" s="51">
        <f t="shared" si="180"/>
        <v>-0.94743575363006682</v>
      </c>
      <c r="AJ180" s="51" t="str">
        <f t="shared" si="161"/>
        <v>1+0.00463610362586388i</v>
      </c>
      <c r="AK180" s="51">
        <f t="shared" si="181"/>
        <v>1.0000107466706694</v>
      </c>
      <c r="AL180" s="51">
        <f t="shared" si="182"/>
        <v>4.6360704109945066E-3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12.6145360252663+27.840064856596i</v>
      </c>
      <c r="BG180" s="66">
        <f t="shared" si="198"/>
        <v>29.704378780569762</v>
      </c>
      <c r="BH180" s="63">
        <f t="shared" si="199"/>
        <v>65.624373783742499</v>
      </c>
      <c r="BI180" s="60" t="e">
        <f t="shared" si="203"/>
        <v>#NUM!</v>
      </c>
      <c r="BJ180" s="66" t="e">
        <f t="shared" si="200"/>
        <v>#NUM!</v>
      </c>
      <c r="BK180" s="63" t="e">
        <f t="shared" si="204"/>
        <v>#NUM!</v>
      </c>
      <c r="BL180" s="51">
        <f t="shared" si="201"/>
        <v>29.704378780569762</v>
      </c>
      <c r="BM180" s="63">
        <f t="shared" si="202"/>
        <v>65.624373783742499</v>
      </c>
    </row>
    <row r="181" spans="14:65" x14ac:dyDescent="0.3">
      <c r="N181" s="11">
        <v>63</v>
      </c>
      <c r="O181" s="52">
        <f t="shared" si="154"/>
        <v>426.57951880159294</v>
      </c>
      <c r="P181" s="50" t="str">
        <f t="shared" si="155"/>
        <v>23.3035714285714</v>
      </c>
      <c r="Q181" s="18" t="str">
        <f t="shared" si="156"/>
        <v>1+1.01659121825012i</v>
      </c>
      <c r="R181" s="18">
        <f t="shared" si="167"/>
        <v>1.4259935851970946</v>
      </c>
      <c r="S181" s="18">
        <f t="shared" si="168"/>
        <v>0.79362533594743345</v>
      </c>
      <c r="T181" s="18" t="str">
        <f t="shared" si="157"/>
        <v>1+0.0047440923518339i</v>
      </c>
      <c r="U181" s="18">
        <f t="shared" si="169"/>
        <v>1.0000112531428047</v>
      </c>
      <c r="V181" s="18">
        <f t="shared" si="170"/>
        <v>4.744056761481776E-3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11.4017282261843-11.7079587701605i</v>
      </c>
      <c r="AD181" s="66">
        <f t="shared" si="176"/>
        <v>24.266343836499175</v>
      </c>
      <c r="AE181" s="63">
        <f t="shared" si="177"/>
        <v>-45.759192059433751</v>
      </c>
      <c r="AF181" s="51" t="e">
        <f t="shared" si="178"/>
        <v>#NUM!</v>
      </c>
      <c r="AG181" s="51" t="str">
        <f t="shared" si="160"/>
        <v>1-1.42322770555017i</v>
      </c>
      <c r="AH181" s="51">
        <f t="shared" si="179"/>
        <v>1.7394186102964406</v>
      </c>
      <c r="AI181" s="51">
        <f t="shared" si="180"/>
        <v>-0.95830860965768783</v>
      </c>
      <c r="AJ181" s="51" t="str">
        <f t="shared" si="161"/>
        <v>1+0.0047440923518339i</v>
      </c>
      <c r="AK181" s="51">
        <f t="shared" si="181"/>
        <v>1.0000112531428047</v>
      </c>
      <c r="AL181" s="51">
        <f t="shared" si="182"/>
        <v>4.744056761481776E-3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12.3353501906675+26.9313380697754i</v>
      </c>
      <c r="BG181" s="66">
        <f t="shared" si="198"/>
        <v>29.43226256009542</v>
      </c>
      <c r="BH181" s="63">
        <f t="shared" si="199"/>
        <v>65.39081805934967</v>
      </c>
      <c r="BI181" s="60" t="e">
        <f t="shared" si="203"/>
        <v>#NUM!</v>
      </c>
      <c r="BJ181" s="66" t="e">
        <f t="shared" si="200"/>
        <v>#NUM!</v>
      </c>
      <c r="BK181" s="63" t="e">
        <f t="shared" si="204"/>
        <v>#NUM!</v>
      </c>
      <c r="BL181" s="51">
        <f t="shared" si="201"/>
        <v>29.43226256009542</v>
      </c>
      <c r="BM181" s="63">
        <f t="shared" si="202"/>
        <v>65.39081805934967</v>
      </c>
    </row>
    <row r="182" spans="14:65" x14ac:dyDescent="0.3">
      <c r="N182" s="11">
        <v>64</v>
      </c>
      <c r="O182" s="52">
        <f t="shared" si="154"/>
        <v>436.51583224016622</v>
      </c>
      <c r="P182" s="50" t="str">
        <f t="shared" si="155"/>
        <v>23.3035714285714</v>
      </c>
      <c r="Q182" s="18" t="str">
        <f t="shared" si="156"/>
        <v>1+1.0402706696495i</v>
      </c>
      <c r="R182" s="18">
        <f t="shared" si="167"/>
        <v>1.4429702235780957</v>
      </c>
      <c r="S182" s="18">
        <f t="shared" si="168"/>
        <v>0.80513350628868974</v>
      </c>
      <c r="T182" s="18" t="str">
        <f t="shared" si="157"/>
        <v>1+0.00485459645836435i</v>
      </c>
      <c r="U182" s="18">
        <f t="shared" si="169"/>
        <v>1.0000117834839615</v>
      </c>
      <c r="V182" s="18">
        <f t="shared" si="170"/>
        <v>4.8545583226392392E-3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11.1323369082308-11.7004323373829i</v>
      </c>
      <c r="AD182" s="66">
        <f t="shared" si="176"/>
        <v>24.163559461220267</v>
      </c>
      <c r="AE182" s="63">
        <f t="shared" si="177"/>
        <v>-46.425265416396627</v>
      </c>
      <c r="AF182" s="51" t="e">
        <f t="shared" si="178"/>
        <v>#NUM!</v>
      </c>
      <c r="AG182" s="51" t="str">
        <f t="shared" si="160"/>
        <v>1-1.45637893750931i</v>
      </c>
      <c r="AH182" s="51">
        <f t="shared" si="179"/>
        <v>1.7666464302799092</v>
      </c>
      <c r="AI182" s="51">
        <f t="shared" si="180"/>
        <v>-0.96909694268070834</v>
      </c>
      <c r="AJ182" s="51" t="str">
        <f t="shared" si="161"/>
        <v>1+0.00485459645836435i</v>
      </c>
      <c r="AK182" s="51">
        <f t="shared" si="181"/>
        <v>1.0000117834839615</v>
      </c>
      <c r="AL182" s="51">
        <f t="shared" si="182"/>
        <v>4.8545583226392392E-3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12.0563753812007+26.049741776387i</v>
      </c>
      <c r="BG182" s="66">
        <f t="shared" si="198"/>
        <v>29.15898345939538</v>
      </c>
      <c r="BH182" s="63">
        <f t="shared" si="199"/>
        <v>65.164295268736311</v>
      </c>
      <c r="BI182" s="60" t="e">
        <f t="shared" si="203"/>
        <v>#NUM!</v>
      </c>
      <c r="BJ182" s="66" t="e">
        <f t="shared" si="200"/>
        <v>#NUM!</v>
      </c>
      <c r="BK182" s="63" t="e">
        <f t="shared" si="204"/>
        <v>#NUM!</v>
      </c>
      <c r="BL182" s="51">
        <f t="shared" si="201"/>
        <v>29.15898345939538</v>
      </c>
      <c r="BM182" s="63">
        <f t="shared" si="202"/>
        <v>65.164295268736311</v>
      </c>
    </row>
    <row r="183" spans="14:65" x14ac:dyDescent="0.3">
      <c r="N183" s="11">
        <v>65</v>
      </c>
      <c r="O183" s="52">
        <f t="shared" si="154"/>
        <v>446.68359215096331</v>
      </c>
      <c r="P183" s="50" t="str">
        <f t="shared" si="155"/>
        <v>23.3035714285714</v>
      </c>
      <c r="Q183" s="18" t="str">
        <f t="shared" si="156"/>
        <v>1+1.06450168632754i</v>
      </c>
      <c r="R183" s="18">
        <f t="shared" si="167"/>
        <v>1.4605354635181498</v>
      </c>
      <c r="S183" s="18">
        <f t="shared" si="168"/>
        <v>0.81663122632075691</v>
      </c>
      <c r="T183" s="18" t="str">
        <f t="shared" si="157"/>
        <v>1+0.0049676745361952i</v>
      </c>
      <c r="U183" s="18">
        <f t="shared" si="169"/>
        <v>1.0000123388190254</v>
      </c>
      <c r="V183" s="18">
        <f t="shared" si="170"/>
        <v>4.9676336730567552E-3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10.8634346000477-11.6867235220121i</v>
      </c>
      <c r="AD183" s="66">
        <f t="shared" si="176"/>
        <v>24.058476833860976</v>
      </c>
      <c r="AE183" s="63">
        <f t="shared" si="177"/>
        <v>-47.090896152310009</v>
      </c>
      <c r="AF183" s="51" t="e">
        <f t="shared" si="178"/>
        <v>#NUM!</v>
      </c>
      <c r="AG183" s="51" t="str">
        <f t="shared" si="160"/>
        <v>1-1.49030236085856i</v>
      </c>
      <c r="AH183" s="51">
        <f t="shared" si="179"/>
        <v>1.7947147758851816</v>
      </c>
      <c r="AI183" s="51">
        <f t="shared" si="180"/>
        <v>-0.97979642782114362</v>
      </c>
      <c r="AJ183" s="51" t="str">
        <f t="shared" si="161"/>
        <v>1+0.0049676745361952i</v>
      </c>
      <c r="AK183" s="51">
        <f t="shared" si="181"/>
        <v>1.0000123388190254</v>
      </c>
      <c r="AL183" s="51">
        <f t="shared" si="182"/>
        <v>4.9676336730567552E-3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11.7779065515599+25.1947837560142i</v>
      </c>
      <c r="BG183" s="66">
        <f t="shared" si="198"/>
        <v>28.884581907730407</v>
      </c>
      <c r="BH183" s="63">
        <f t="shared" si="199"/>
        <v>64.945133291049785</v>
      </c>
      <c r="BI183" s="60" t="e">
        <f t="shared" si="203"/>
        <v>#NUM!</v>
      </c>
      <c r="BJ183" s="66" t="e">
        <f t="shared" si="200"/>
        <v>#NUM!</v>
      </c>
      <c r="BK183" s="63" t="e">
        <f t="shared" si="204"/>
        <v>#NUM!</v>
      </c>
      <c r="BL183" s="51">
        <f t="shared" si="201"/>
        <v>28.884581907730407</v>
      </c>
      <c r="BM183" s="63">
        <f t="shared" si="202"/>
        <v>64.945133291049785</v>
      </c>
    </row>
    <row r="184" spans="14:65" x14ac:dyDescent="0.3">
      <c r="N184" s="11">
        <v>66</v>
      </c>
      <c r="O184" s="52">
        <f t="shared" ref="O184:O218" si="205">10^(2+(N184/100))</f>
        <v>457.0881896148756</v>
      </c>
      <c r="P184" s="50" t="str">
        <f t="shared" si="155"/>
        <v>23.3035714285714</v>
      </c>
      <c r="Q184" s="18" t="str">
        <f t="shared" si="156"/>
        <v>1+1.08929711589002i</v>
      </c>
      <c r="R184" s="18">
        <f t="shared" si="167"/>
        <v>1.4787049085893762</v>
      </c>
      <c r="S184" s="18">
        <f t="shared" si="168"/>
        <v>0.82811243357517117</v>
      </c>
      <c r="T184" s="18" t="str">
        <f t="shared" si="157"/>
        <v>1+0.0050833865408201i</v>
      </c>
      <c r="U184" s="18">
        <f t="shared" si="169"/>
        <v>1.0000129203258943</v>
      </c>
      <c r="V184" s="18">
        <f t="shared" si="170"/>
        <v>5.0833427552089373E-3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10.5953040836434-11.6668685542787i</v>
      </c>
      <c r="AD184" s="66">
        <f t="shared" si="176"/>
        <v>23.951101365858165</v>
      </c>
      <c r="AE184" s="63">
        <f t="shared" si="177"/>
        <v>-47.755740549283587</v>
      </c>
      <c r="AF184" s="51" t="e">
        <f t="shared" si="178"/>
        <v>#NUM!</v>
      </c>
      <c r="AG184" s="51" t="str">
        <f t="shared" si="160"/>
        <v>1-1.52501596224603i</v>
      </c>
      <c r="AH184" s="51">
        <f t="shared" si="179"/>
        <v>1.823642970843028</v>
      </c>
      <c r="AI184" s="51">
        <f t="shared" si="180"/>
        <v>-0.99040293913917465</v>
      </c>
      <c r="AJ184" s="51" t="str">
        <f t="shared" si="161"/>
        <v>1+0.0050833865408201i</v>
      </c>
      <c r="AK184" s="51">
        <f t="shared" si="181"/>
        <v>1.0000129203258943</v>
      </c>
      <c r="AL184" s="51">
        <f t="shared" si="182"/>
        <v>5.0833427552089373E-3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11.5002365151586+24.3659656550338i</v>
      </c>
      <c r="BG184" s="66">
        <f t="shared" si="198"/>
        <v>28.609101328383257</v>
      </c>
      <c r="BH184" s="63">
        <f t="shared" si="199"/>
        <v>64.733649633238358</v>
      </c>
      <c r="BI184" s="60" t="e">
        <f t="shared" si="203"/>
        <v>#NUM!</v>
      </c>
      <c r="BJ184" s="66" t="e">
        <f t="shared" si="200"/>
        <v>#NUM!</v>
      </c>
      <c r="BK184" s="63" t="e">
        <f t="shared" si="204"/>
        <v>#NUM!</v>
      </c>
      <c r="BL184" s="51">
        <f t="shared" si="201"/>
        <v>28.609101328383257</v>
      </c>
      <c r="BM184" s="63">
        <f t="shared" si="202"/>
        <v>64.733649633238358</v>
      </c>
    </row>
    <row r="185" spans="14:65" x14ac:dyDescent="0.3">
      <c r="N185" s="11">
        <v>67</v>
      </c>
      <c r="O185" s="52">
        <f t="shared" si="205"/>
        <v>467.7351412871983</v>
      </c>
      <c r="P185" s="50" t="str">
        <f t="shared" si="155"/>
        <v>23.3035714285714</v>
      </c>
      <c r="Q185" s="18" t="str">
        <f t="shared" si="156"/>
        <v>1+1.11467010520189i</v>
      </c>
      <c r="R185" s="18">
        <f t="shared" si="167"/>
        <v>1.4974943884471796</v>
      </c>
      <c r="S185" s="18">
        <f t="shared" si="168"/>
        <v>0.83957110911625243</v>
      </c>
      <c r="T185" s="18" t="str">
        <f t="shared" si="157"/>
        <v>1+0.00520179382427551i</v>
      </c>
      <c r="U185" s="18">
        <f t="shared" si="169"/>
        <v>1.000013529237975</v>
      </c>
      <c r="V185" s="18">
        <f t="shared" si="170"/>
        <v>5.2017469071821403E-3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10.3282248902774-11.6409197155536i</v>
      </c>
      <c r="AD185" s="66">
        <f t="shared" si="176"/>
        <v>23.841440871858175</v>
      </c>
      <c r="AE185" s="63">
        <f t="shared" si="177"/>
        <v>-48.419457468296578</v>
      </c>
      <c r="AF185" s="51" t="e">
        <f t="shared" si="178"/>
        <v>#NUM!</v>
      </c>
      <c r="AG185" s="51" t="str">
        <f t="shared" si="160"/>
        <v>1-1.56053814728265i</v>
      </c>
      <c r="AH185" s="51">
        <f t="shared" si="179"/>
        <v>1.853450649228181</v>
      </c>
      <c r="AI185" s="51">
        <f t="shared" si="180"/>
        <v>-1.0009125545368951</v>
      </c>
      <c r="AJ185" s="51" t="str">
        <f t="shared" si="161"/>
        <v>1+0.00520179382427551i</v>
      </c>
      <c r="AK185" s="51">
        <f t="shared" si="181"/>
        <v>1.000013529237975</v>
      </c>
      <c r="AL185" s="51">
        <f t="shared" si="182"/>
        <v>5.2017469071821403E-3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11.2236547182163+23.5627829834196i</v>
      </c>
      <c r="BG185" s="66">
        <f t="shared" si="198"/>
        <v>28.332588069901178</v>
      </c>
      <c r="BH185" s="63">
        <f t="shared" si="199"/>
        <v>64.530150120432097</v>
      </c>
      <c r="BI185" s="60" t="e">
        <f t="shared" si="203"/>
        <v>#NUM!</v>
      </c>
      <c r="BJ185" s="66" t="e">
        <f t="shared" si="200"/>
        <v>#NUM!</v>
      </c>
      <c r="BK185" s="63" t="e">
        <f t="shared" si="204"/>
        <v>#NUM!</v>
      </c>
      <c r="BL185" s="51">
        <f t="shared" si="201"/>
        <v>28.332588069901178</v>
      </c>
      <c r="BM185" s="63">
        <f t="shared" si="202"/>
        <v>64.530150120432097</v>
      </c>
    </row>
    <row r="186" spans="14:65" x14ac:dyDescent="0.3">
      <c r="N186" s="11">
        <v>68</v>
      </c>
      <c r="O186" s="52">
        <f t="shared" si="205"/>
        <v>478.63009232263886</v>
      </c>
      <c r="P186" s="50" t="str">
        <f t="shared" si="155"/>
        <v>23.3035714285714</v>
      </c>
      <c r="Q186" s="18" t="str">
        <f t="shared" si="156"/>
        <v>1+1.14063410735795i</v>
      </c>
      <c r="R186" s="18">
        <f t="shared" si="167"/>
        <v>1.5169199606005146</v>
      </c>
      <c r="S186" s="18">
        <f t="shared" si="168"/>
        <v>0.85100129316692252</v>
      </c>
      <c r="T186" s="18" t="str">
        <f t="shared" si="157"/>
        <v>1+0.00532295916767043i</v>
      </c>
      <c r="U186" s="18">
        <f t="shared" si="169"/>
        <v>1.0000141668468006</v>
      </c>
      <c r="V186" s="18">
        <f t="shared" si="170"/>
        <v>5.3229088951376024E-3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10.0624721456611-11.6089450040014i</v>
      </c>
      <c r="AD186" s="66">
        <f t="shared" si="176"/>
        <v>23.729505537055935</v>
      </c>
      <c r="AE186" s="63">
        <f t="shared" si="177"/>
        <v>-49.081709246456413</v>
      </c>
      <c r="AF186" s="51" t="e">
        <f t="shared" si="178"/>
        <v>#NUM!</v>
      </c>
      <c r="AG186" s="51" t="str">
        <f t="shared" si="160"/>
        <v>1-1.59688775030113i</v>
      </c>
      <c r="AH186" s="51">
        <f t="shared" si="179"/>
        <v>1.8841577659691355</v>
      </c>
      <c r="AI186" s="51">
        <f t="shared" si="180"/>
        <v>-1.0113215596808307</v>
      </c>
      <c r="AJ186" s="51" t="str">
        <f t="shared" si="161"/>
        <v>1+0.00532295916767043i</v>
      </c>
      <c r="AK186" s="51">
        <f t="shared" si="181"/>
        <v>1.0000141668468006</v>
      </c>
      <c r="AL186" s="51">
        <f t="shared" si="182"/>
        <v>5.3229088951376024E-3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10.9484460438731+22.7847252221964i</v>
      </c>
      <c r="BG186" s="66">
        <f t="shared" si="198"/>
        <v>28.055091322570945</v>
      </c>
      <c r="BH186" s="63">
        <f t="shared" si="199"/>
        <v>64.334927608221832</v>
      </c>
      <c r="BI186" s="60" t="e">
        <f t="shared" si="203"/>
        <v>#NUM!</v>
      </c>
      <c r="BJ186" s="66" t="e">
        <f t="shared" si="200"/>
        <v>#NUM!</v>
      </c>
      <c r="BK186" s="63" t="e">
        <f t="shared" si="204"/>
        <v>#NUM!</v>
      </c>
      <c r="BL186" s="51">
        <f t="shared" si="201"/>
        <v>28.055091322570945</v>
      </c>
      <c r="BM186" s="63">
        <f t="shared" si="202"/>
        <v>64.334927608221832</v>
      </c>
    </row>
    <row r="187" spans="14:65" x14ac:dyDescent="0.3">
      <c r="N187" s="11">
        <v>69</v>
      </c>
      <c r="O187" s="52">
        <f t="shared" si="205"/>
        <v>489.77881936844625</v>
      </c>
      <c r="P187" s="50" t="str">
        <f t="shared" si="155"/>
        <v>23.3035714285714</v>
      </c>
      <c r="Q187" s="18" t="str">
        <f t="shared" si="156"/>
        <v>1+1.1672028888158i</v>
      </c>
      <c r="R187" s="18">
        <f t="shared" si="167"/>
        <v>1.536997912705137</v>
      </c>
      <c r="S187" s="18">
        <f t="shared" si="168"/>
        <v>0.86239710035741601</v>
      </c>
      <c r="T187" s="18" t="str">
        <f t="shared" si="157"/>
        <v>1+0.00544694681447376i</v>
      </c>
      <c r="U187" s="18">
        <f t="shared" si="169"/>
        <v>1.0000148345047686</v>
      </c>
      <c r="V187" s="18">
        <f t="shared" si="170"/>
        <v>5.446892946527471E-3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9.79831545418827-11.5710277027079i</v>
      </c>
      <c r="AD187" s="66">
        <f t="shared" si="176"/>
        <v>23.6153078748338</v>
      </c>
      <c r="AE187" s="63">
        <f t="shared" si="177"/>
        <v>-49.742162572700231</v>
      </c>
      <c r="AF187" s="51" t="e">
        <f t="shared" si="178"/>
        <v>#NUM!</v>
      </c>
      <c r="AG187" s="51" t="str">
        <f t="shared" si="160"/>
        <v>1-1.63408404434213i</v>
      </c>
      <c r="AH187" s="51">
        <f t="shared" si="179"/>
        <v>1.9157846079279195</v>
      </c>
      <c r="AI187" s="51">
        <f t="shared" si="180"/>
        <v>-1.0216264509610256</v>
      </c>
      <c r="AJ187" s="51" t="str">
        <f t="shared" si="161"/>
        <v>1+0.00544694681447376i</v>
      </c>
      <c r="AK187" s="51">
        <f t="shared" si="181"/>
        <v>1.0000148345047686</v>
      </c>
      <c r="AL187" s="51">
        <f t="shared" si="182"/>
        <v>5.446892946527471E-3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10.6748896567188+22.0312760373177i</v>
      </c>
      <c r="BG187" s="66">
        <f t="shared" si="198"/>
        <v>27.776663020320065</v>
      </c>
      <c r="BH187" s="63">
        <f t="shared" si="199"/>
        <v>64.148260724899018</v>
      </c>
      <c r="BI187" s="60" t="e">
        <f t="shared" si="203"/>
        <v>#NUM!</v>
      </c>
      <c r="BJ187" s="66" t="e">
        <f t="shared" si="200"/>
        <v>#NUM!</v>
      </c>
      <c r="BK187" s="63" t="e">
        <f t="shared" si="204"/>
        <v>#NUM!</v>
      </c>
      <c r="BL187" s="51">
        <f t="shared" si="201"/>
        <v>27.776663020320065</v>
      </c>
      <c r="BM187" s="63">
        <f t="shared" si="202"/>
        <v>64.148260724899018</v>
      </c>
    </row>
    <row r="188" spans="14:65" x14ac:dyDescent="0.3">
      <c r="N188" s="11">
        <v>70</v>
      </c>
      <c r="O188" s="52">
        <f t="shared" si="205"/>
        <v>501.18723362727269</v>
      </c>
      <c r="P188" s="50" t="str">
        <f t="shared" si="155"/>
        <v>23.3035714285714</v>
      </c>
      <c r="Q188" s="18" t="str">
        <f t="shared" si="156"/>
        <v>1+1.19439053669506i</v>
      </c>
      <c r="R188" s="18">
        <f t="shared" si="167"/>
        <v>1.5577447654050112</v>
      </c>
      <c r="S188" s="18">
        <f t="shared" si="168"/>
        <v>0.87375273450349966</v>
      </c>
      <c r="T188" s="18" t="str">
        <f t="shared" si="157"/>
        <v>1+0.00557382250457697i</v>
      </c>
      <c r="U188" s="18">
        <f t="shared" si="169"/>
        <v>1.0000155336280094</v>
      </c>
      <c r="V188" s="18">
        <f t="shared" si="170"/>
        <v>5.5737647840810103E-3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9.53601783163772-11.5272658553544i</v>
      </c>
      <c r="AD188" s="66">
        <f t="shared" si="176"/>
        <v>23.498862675075877</v>
      </c>
      <c r="AE188" s="63">
        <f t="shared" si="177"/>
        <v>-50.400489336580485</v>
      </c>
      <c r="AF188" s="51" t="e">
        <f t="shared" si="178"/>
        <v>#NUM!</v>
      </c>
      <c r="AG188" s="51" t="str">
        <f t="shared" si="160"/>
        <v>1-1.67214675137309i</v>
      </c>
      <c r="AH188" s="51">
        <f t="shared" si="179"/>
        <v>1.948351805533995</v>
      </c>
      <c r="AI188" s="51">
        <f t="shared" si="180"/>
        <v>-1.0318239375116043</v>
      </c>
      <c r="AJ188" s="51" t="str">
        <f t="shared" si="161"/>
        <v>1+0.00557382250457697i</v>
      </c>
      <c r="AK188" s="51">
        <f t="shared" si="181"/>
        <v>1.0000155336280094</v>
      </c>
      <c r="AL188" s="51">
        <f t="shared" si="182"/>
        <v>5.5737647840810103E-3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10.4032578975159+21.3019135945986i</v>
      </c>
      <c r="BG188" s="66">
        <f t="shared" si="198"/>
        <v>27.49735772835059</v>
      </c>
      <c r="BH188" s="63">
        <f t="shared" si="199"/>
        <v>63.970412651611376</v>
      </c>
      <c r="BI188" s="60" t="e">
        <f t="shared" si="203"/>
        <v>#NUM!</v>
      </c>
      <c r="BJ188" s="66" t="e">
        <f t="shared" si="200"/>
        <v>#NUM!</v>
      </c>
      <c r="BK188" s="63" t="e">
        <f t="shared" si="204"/>
        <v>#NUM!</v>
      </c>
      <c r="BL188" s="51">
        <f t="shared" si="201"/>
        <v>27.49735772835059</v>
      </c>
      <c r="BM188" s="63">
        <f t="shared" si="202"/>
        <v>63.970412651611376</v>
      </c>
    </row>
    <row r="189" spans="14:65" x14ac:dyDescent="0.3">
      <c r="N189" s="11">
        <v>71</v>
      </c>
      <c r="O189" s="52">
        <f t="shared" si="205"/>
        <v>512.86138399136519</v>
      </c>
      <c r="P189" s="50" t="str">
        <f t="shared" si="155"/>
        <v>23.3035714285714</v>
      </c>
      <c r="Q189" s="18" t="str">
        <f t="shared" si="156"/>
        <v>1+1.22221146624651i</v>
      </c>
      <c r="R189" s="18">
        <f t="shared" si="167"/>
        <v>1.5791772757434308</v>
      </c>
      <c r="S189" s="18">
        <f t="shared" si="168"/>
        <v>0.88506250282610832</v>
      </c>
      <c r="T189" s="18" t="str">
        <f t="shared" si="157"/>
        <v>1+0.00570365350915037i</v>
      </c>
      <c r="U189" s="18">
        <f t="shared" si="169"/>
        <v>1.0000162656993898</v>
      </c>
      <c r="V189" s="18">
        <f t="shared" si="170"/>
        <v>5.7035916605789744E-3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9.27583469506097-11.4777716555218i</v>
      </c>
      <c r="AD189" s="66">
        <f t="shared" si="176"/>
        <v>23.380186943607455</v>
      </c>
      <c r="AE189" s="63">
        <f t="shared" si="177"/>
        <v>-51.056367445096029</v>
      </c>
      <c r="AF189" s="51" t="e">
        <f t="shared" si="178"/>
        <v>#NUM!</v>
      </c>
      <c r="AG189" s="51" t="str">
        <f t="shared" si="160"/>
        <v>1-1.71109605274511i</v>
      </c>
      <c r="AH189" s="51">
        <f t="shared" si="179"/>
        <v>1.9818803449552389</v>
      </c>
      <c r="AI189" s="51">
        <f t="shared" si="180"/>
        <v>-1.0419109423239965</v>
      </c>
      <c r="AJ189" s="51" t="str">
        <f t="shared" si="161"/>
        <v>1+0.00570365350915037i</v>
      </c>
      <c r="AK189" s="51">
        <f t="shared" si="181"/>
        <v>1.0000162656993898</v>
      </c>
      <c r="AL189" s="51">
        <f t="shared" si="182"/>
        <v>5.7035916605789744E-3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10.1338152371357+20.5961109692715i</v>
      </c>
      <c r="BG189" s="66">
        <f t="shared" si="198"/>
        <v>27.217232516913931</v>
      </c>
      <c r="BH189" s="63">
        <f t="shared" si="199"/>
        <v>63.801629948218959</v>
      </c>
      <c r="BI189" s="60" t="e">
        <f t="shared" si="203"/>
        <v>#NUM!</v>
      </c>
      <c r="BJ189" s="66" t="e">
        <f t="shared" si="200"/>
        <v>#NUM!</v>
      </c>
      <c r="BK189" s="63" t="e">
        <f t="shared" si="204"/>
        <v>#NUM!</v>
      </c>
      <c r="BL189" s="51">
        <f t="shared" si="201"/>
        <v>27.217232516913931</v>
      </c>
      <c r="BM189" s="63">
        <f t="shared" si="202"/>
        <v>63.801629948218959</v>
      </c>
    </row>
    <row r="190" spans="14:65" x14ac:dyDescent="0.3">
      <c r="N190" s="11">
        <v>72</v>
      </c>
      <c r="O190" s="52">
        <f t="shared" si="205"/>
        <v>524.80746024977248</v>
      </c>
      <c r="P190" s="50" t="str">
        <f t="shared" si="155"/>
        <v>23.3035714285714</v>
      </c>
      <c r="Q190" s="18" t="str">
        <f t="shared" si="156"/>
        <v>1+1.25068042849524i</v>
      </c>
      <c r="R190" s="18">
        <f t="shared" si="167"/>
        <v>1.6013124411622601</v>
      </c>
      <c r="S190" s="18">
        <f t="shared" si="168"/>
        <v>0.89632082953090131</v>
      </c>
      <c r="T190" s="18" t="str">
        <f t="shared" si="157"/>
        <v>1+0.00583650866631111i</v>
      </c>
      <c r="U190" s="18">
        <f t="shared" si="169"/>
        <v>1.0000170322716568</v>
      </c>
      <c r="V190" s="18">
        <f t="shared" si="170"/>
        <v>5.8364423944338205E-3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9.01801291773024-11.4226707566146i</v>
      </c>
      <c r="AD190" s="66">
        <f t="shared" si="176"/>
        <v>23.259299833283929</v>
      </c>
      <c r="AE190" s="63">
        <f t="shared" si="177"/>
        <v>-51.709481602898812</v>
      </c>
      <c r="AF190" s="51" t="e">
        <f t="shared" si="178"/>
        <v>#NUM!</v>
      </c>
      <c r="AG190" s="51" t="str">
        <f t="shared" si="160"/>
        <v>1-1.75095259989334i</v>
      </c>
      <c r="AH190" s="51">
        <f t="shared" si="179"/>
        <v>2.0163915807881283</v>
      </c>
      <c r="AI190" s="51">
        <f t="shared" si="180"/>
        <v>-1.0518846024895889</v>
      </c>
      <c r="AJ190" s="51" t="str">
        <f t="shared" si="161"/>
        <v>1+0.00583650866631111i</v>
      </c>
      <c r="AK190" s="51">
        <f t="shared" si="181"/>
        <v>1.0000170322716568</v>
      </c>
      <c r="AL190" s="51">
        <f t="shared" si="182"/>
        <v>5.8364423944338205E-3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9.86681729786756+19.9133366428166i</v>
      </c>
      <c r="BG190" s="66">
        <f t="shared" si="198"/>
        <v>26.93634682174681</v>
      </c>
      <c r="BH190" s="63">
        <f t="shared" si="199"/>
        <v>63.642141432380456</v>
      </c>
      <c r="BI190" s="60" t="e">
        <f t="shared" si="203"/>
        <v>#NUM!</v>
      </c>
      <c r="BJ190" s="66" t="e">
        <f t="shared" si="200"/>
        <v>#NUM!</v>
      </c>
      <c r="BK190" s="63" t="e">
        <f t="shared" si="204"/>
        <v>#NUM!</v>
      </c>
      <c r="BL190" s="51">
        <f t="shared" si="201"/>
        <v>26.93634682174681</v>
      </c>
      <c r="BM190" s="63">
        <f t="shared" si="202"/>
        <v>63.642141432380456</v>
      </c>
    </row>
    <row r="191" spans="14:65" x14ac:dyDescent="0.3">
      <c r="N191" s="11">
        <v>73</v>
      </c>
      <c r="O191" s="52">
        <f t="shared" si="205"/>
        <v>537.03179637025301</v>
      </c>
      <c r="P191" s="50" t="str">
        <f t="shared" si="155"/>
        <v>23.3035714285714</v>
      </c>
      <c r="Q191" s="18" t="str">
        <f t="shared" si="156"/>
        <v>1+1.27981251806187i</v>
      </c>
      <c r="R191" s="18">
        <f t="shared" si="167"/>
        <v>1.6241675041041377</v>
      </c>
      <c r="S191" s="18">
        <f t="shared" si="168"/>
        <v>0.90752226867344898</v>
      </c>
      <c r="T191" s="18" t="str">
        <f t="shared" si="157"/>
        <v>1+0.00597245841762204i</v>
      </c>
      <c r="U191" s="18">
        <f t="shared" si="169"/>
        <v>1.000017834970732</v>
      </c>
      <c r="V191" s="18">
        <f t="shared" si="170"/>
        <v>5.9723874060945304E-3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8.76278995607864-11.3621015101661i</v>
      </c>
      <c r="AD191" s="66">
        <f t="shared" si="176"/>
        <v>23.13622256731454</v>
      </c>
      <c r="AE191" s="63">
        <f t="shared" si="177"/>
        <v>-52.35952405161801</v>
      </c>
      <c r="AF191" s="51" t="e">
        <f t="shared" si="178"/>
        <v>#NUM!</v>
      </c>
      <c r="AG191" s="51" t="str">
        <f t="shared" si="160"/>
        <v>1-1.79173752528662i</v>
      </c>
      <c r="AH191" s="51">
        <f t="shared" si="179"/>
        <v>2.0519072492489081</v>
      </c>
      <c r="AI191" s="51">
        <f t="shared" si="180"/>
        <v>-1.0617422686134865</v>
      </c>
      <c r="AJ191" s="51" t="str">
        <f t="shared" si="161"/>
        <v>1+0.00597245841762204i</v>
      </c>
      <c r="AK191" s="51">
        <f t="shared" si="181"/>
        <v>1.000017834970732</v>
      </c>
      <c r="AL191" s="51">
        <f t="shared" si="182"/>
        <v>5.9723874060945304E-3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9.60250994927435+19.2530550789104i</v>
      </c>
      <c r="BG191" s="66">
        <f t="shared" si="198"/>
        <v>26.654762291784788</v>
      </c>
      <c r="BH191" s="63">
        <f t="shared" si="199"/>
        <v>63.492157119109748</v>
      </c>
      <c r="BI191" s="60" t="e">
        <f t="shared" si="203"/>
        <v>#NUM!</v>
      </c>
      <c r="BJ191" s="66" t="e">
        <f t="shared" si="200"/>
        <v>#NUM!</v>
      </c>
      <c r="BK191" s="63" t="e">
        <f t="shared" si="204"/>
        <v>#NUM!</v>
      </c>
      <c r="BL191" s="51">
        <f t="shared" si="201"/>
        <v>26.654762291784788</v>
      </c>
      <c r="BM191" s="63">
        <f t="shared" si="202"/>
        <v>63.492157119109748</v>
      </c>
    </row>
    <row r="192" spans="14:65" x14ac:dyDescent="0.3">
      <c r="N192" s="11">
        <v>74</v>
      </c>
      <c r="O192" s="52">
        <f t="shared" si="205"/>
        <v>549.54087385762534</v>
      </c>
      <c r="P192" s="50" t="str">
        <f t="shared" si="155"/>
        <v>23.3035714285714</v>
      </c>
      <c r="Q192" s="18" t="str">
        <f t="shared" si="156"/>
        <v>1+1.30962318116589i</v>
      </c>
      <c r="R192" s="18">
        <f t="shared" si="167"/>
        <v>1.6477599572289241</v>
      </c>
      <c r="S192" s="18">
        <f t="shared" si="168"/>
        <v>0.91866151624367354</v>
      </c>
      <c r="T192" s="18" t="str">
        <f t="shared" si="157"/>
        <v>1+0.00611157484544085i</v>
      </c>
      <c r="U192" s="18">
        <f t="shared" si="169"/>
        <v>1.0000186754991587</v>
      </c>
      <c r="V192" s="18">
        <f t="shared" si="170"/>
        <v>6.1114987552949749E-3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8.51039305454539-11.2962141409261i</v>
      </c>
      <c r="AD192" s="66">
        <f t="shared" si="176"/>
        <v>23.010978355462409</v>
      </c>
      <c r="AE192" s="63">
        <f t="shared" si="177"/>
        <v>-53.006195264503702</v>
      </c>
      <c r="AF192" s="51" t="e">
        <f t="shared" si="178"/>
        <v>#NUM!</v>
      </c>
      <c r="AG192" s="51" t="str">
        <f t="shared" si="160"/>
        <v>1-1.83347245363226i</v>
      </c>
      <c r="AH192" s="51">
        <f t="shared" si="179"/>
        <v>2.0884494818473103</v>
      </c>
      <c r="AI192" s="51">
        <f t="shared" si="180"/>
        <v>-1.0714815034451557</v>
      </c>
      <c r="AJ192" s="51" t="str">
        <f t="shared" si="161"/>
        <v>1+0.00611157484544085i</v>
      </c>
      <c r="AK192" s="51">
        <f t="shared" si="181"/>
        <v>1.0000186754991587</v>
      </c>
      <c r="AL192" s="51">
        <f t="shared" si="182"/>
        <v>6.1114987552949749E-3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9.34112848472217+18.6147273696843i</v>
      </c>
      <c r="BG192" s="66">
        <f t="shared" si="198"/>
        <v>26.372542624869485</v>
      </c>
      <c r="BH192" s="63">
        <f t="shared" si="199"/>
        <v>63.351867227657777</v>
      </c>
      <c r="BI192" s="60" t="e">
        <f t="shared" si="203"/>
        <v>#NUM!</v>
      </c>
      <c r="BJ192" s="66" t="e">
        <f t="shared" si="200"/>
        <v>#NUM!</v>
      </c>
      <c r="BK192" s="63" t="e">
        <f t="shared" si="204"/>
        <v>#NUM!</v>
      </c>
      <c r="BL192" s="51">
        <f t="shared" si="201"/>
        <v>26.372542624869485</v>
      </c>
      <c r="BM192" s="63">
        <f t="shared" si="202"/>
        <v>63.351867227657777</v>
      </c>
    </row>
    <row r="193" spans="14:65" x14ac:dyDescent="0.3">
      <c r="N193" s="11">
        <v>75</v>
      </c>
      <c r="O193" s="52">
        <f t="shared" si="205"/>
        <v>562.34132519034927</v>
      </c>
      <c r="P193" s="50" t="str">
        <f t="shared" si="155"/>
        <v>23.3035714285714</v>
      </c>
      <c r="Q193" s="18" t="str">
        <f t="shared" si="156"/>
        <v>1+1.34012822381549i</v>
      </c>
      <c r="R193" s="18">
        <f t="shared" si="167"/>
        <v>1.6721075492523978</v>
      </c>
      <c r="S193" s="18">
        <f t="shared" si="168"/>
        <v>0.92973342141177595</v>
      </c>
      <c r="T193" s="18" t="str">
        <f t="shared" si="157"/>
        <v>1+0.00625393171113895i</v>
      </c>
      <c r="U193" s="18">
        <f t="shared" si="169"/>
        <v>1.0000195556397122</v>
      </c>
      <c r="V193" s="18">
        <f t="shared" si="170"/>
        <v>6.2538501791648167E-3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8.26103853316108-11.2251698676227i</v>
      </c>
      <c r="AD193" s="66">
        <f t="shared" si="176"/>
        <v>22.883592303807049</v>
      </c>
      <c r="AE193" s="63">
        <f t="shared" si="177"/>
        <v>-53.649204593076561</v>
      </c>
      <c r="AF193" s="51" t="e">
        <f t="shared" si="178"/>
        <v>#NUM!</v>
      </c>
      <c r="AG193" s="51" t="str">
        <f t="shared" si="160"/>
        <v>1-1.87617951334169i</v>
      </c>
      <c r="AH193" s="51">
        <f t="shared" si="179"/>
        <v>2.1260408195241833</v>
      </c>
      <c r="AI193" s="51">
        <f t="shared" si="180"/>
        <v>-1.0811000797750101</v>
      </c>
      <c r="AJ193" s="51" t="str">
        <f t="shared" si="161"/>
        <v>1+0.00625393171113895i</v>
      </c>
      <c r="AK193" s="51">
        <f t="shared" si="181"/>
        <v>1.0000195556397122</v>
      </c>
      <c r="AL193" s="51">
        <f t="shared" si="182"/>
        <v>6.2538501791648167E-3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9.08289688358566+17.9978119429669i</v>
      </c>
      <c r="BG193" s="66">
        <f t="shared" si="198"/>
        <v>26.089753392249385</v>
      </c>
      <c r="BH193" s="63">
        <f t="shared" si="199"/>
        <v>63.221441262164305</v>
      </c>
      <c r="BI193" s="60" t="e">
        <f t="shared" si="203"/>
        <v>#NUM!</v>
      </c>
      <c r="BJ193" s="66" t="e">
        <f t="shared" si="200"/>
        <v>#NUM!</v>
      </c>
      <c r="BK193" s="63" t="e">
        <f t="shared" si="204"/>
        <v>#NUM!</v>
      </c>
      <c r="BL193" s="51">
        <f t="shared" si="201"/>
        <v>26.089753392249385</v>
      </c>
      <c r="BM193" s="63">
        <f t="shared" si="202"/>
        <v>63.221441262164305</v>
      </c>
    </row>
    <row r="194" spans="14:65" x14ac:dyDescent="0.3">
      <c r="N194" s="11">
        <v>76</v>
      </c>
      <c r="O194" s="52">
        <f t="shared" si="205"/>
        <v>575.43993733715706</v>
      </c>
      <c r="P194" s="50" t="str">
        <f t="shared" si="155"/>
        <v>23.3035714285714</v>
      </c>
      <c r="Q194" s="18" t="str">
        <f t="shared" si="156"/>
        <v>1+1.37134382018804i</v>
      </c>
      <c r="R194" s="18">
        <f t="shared" si="167"/>
        <v>1.6972282914115966</v>
      </c>
      <c r="S194" s="18">
        <f t="shared" si="168"/>
        <v>0.94073299688668233</v>
      </c>
      <c r="T194" s="18" t="str">
        <f t="shared" si="157"/>
        <v>1+0.00639960449421087i</v>
      </c>
      <c r="U194" s="18">
        <f t="shared" si="169"/>
        <v>1.0000204772591821</v>
      </c>
      <c r="V194" s="18">
        <f t="shared" si="170"/>
        <v>6.3995171312232098E-3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8.01493116159741-11.1491399786358i</v>
      </c>
      <c r="AD194" s="66">
        <f t="shared" si="176"/>
        <v>22.754091318793897</v>
      </c>
      <c r="AE194" s="63">
        <f t="shared" si="177"/>
        <v>-54.288270862984369</v>
      </c>
      <c r="AF194" s="51" t="e">
        <f t="shared" si="178"/>
        <v>#NUM!</v>
      </c>
      <c r="AG194" s="51" t="str">
        <f t="shared" si="160"/>
        <v>1-1.91988134826327i</v>
      </c>
      <c r="AH194" s="51">
        <f t="shared" si="179"/>
        <v>2.1647042272350263</v>
      </c>
      <c r="AI194" s="51">
        <f t="shared" si="180"/>
        <v>-1.0905959776486966</v>
      </c>
      <c r="AJ194" s="51" t="str">
        <f t="shared" si="161"/>
        <v>1+0.00639960449421087i</v>
      </c>
      <c r="AK194" s="51">
        <f t="shared" si="181"/>
        <v>1.0000204772591821</v>
      </c>
      <c r="AL194" s="51">
        <f t="shared" si="182"/>
        <v>6.3995171312232098E-3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8.82802716298911+17.4017653208465i</v>
      </c>
      <c r="BG194" s="66">
        <f t="shared" si="198"/>
        <v>25.806461852764599</v>
      </c>
      <c r="BH194" s="63">
        <f t="shared" si="199"/>
        <v>63.101027172045448</v>
      </c>
      <c r="BI194" s="60" t="e">
        <f t="shared" si="203"/>
        <v>#NUM!</v>
      </c>
      <c r="BJ194" s="66" t="e">
        <f t="shared" si="200"/>
        <v>#NUM!</v>
      </c>
      <c r="BK194" s="63" t="e">
        <f t="shared" si="204"/>
        <v>#NUM!</v>
      </c>
      <c r="BL194" s="51">
        <f t="shared" si="201"/>
        <v>25.806461852764599</v>
      </c>
      <c r="BM194" s="63">
        <f t="shared" si="202"/>
        <v>63.101027172045448</v>
      </c>
    </row>
    <row r="195" spans="14:65" x14ac:dyDescent="0.3">
      <c r="N195" s="11">
        <v>77</v>
      </c>
      <c r="O195" s="52">
        <f t="shared" si="205"/>
        <v>588.84365535558959</v>
      </c>
      <c r="P195" s="50" t="str">
        <f t="shared" si="155"/>
        <v>23.3035714285714</v>
      </c>
      <c r="Q195" s="18" t="str">
        <f t="shared" si="156"/>
        <v>1+1.40328652120594i</v>
      </c>
      <c r="R195" s="18">
        <f t="shared" si="167"/>
        <v>1.7231404645583217</v>
      </c>
      <c r="S195" s="18">
        <f t="shared" si="168"/>
        <v>0.95165542834740546</v>
      </c>
      <c r="T195" s="18" t="str">
        <f t="shared" si="157"/>
        <v>1+0.00654867043229441i</v>
      </c>
      <c r="U195" s="18">
        <f t="shared" si="169"/>
        <v>1.000021442312329</v>
      </c>
      <c r="V195" s="18">
        <f t="shared" si="170"/>
        <v>6.5485768212749755E-3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7.77226362227838-11.0683048720109i</v>
      </c>
      <c r="AD195" s="66">
        <f t="shared" si="176"/>
        <v>22.622504006320248</v>
      </c>
      <c r="AE195" s="63">
        <f t="shared" si="177"/>
        <v>-54.923122916793318</v>
      </c>
      <c r="AF195" s="51" t="e">
        <f t="shared" si="178"/>
        <v>#NUM!</v>
      </c>
      <c r="AG195" s="51" t="str">
        <f t="shared" si="160"/>
        <v>1-1.96460112968833i</v>
      </c>
      <c r="AH195" s="51">
        <f t="shared" si="179"/>
        <v>2.2044631089616042</v>
      </c>
      <c r="AI195" s="51">
        <f t="shared" si="180"/>
        <v>-1.0999673809526584</v>
      </c>
      <c r="AJ195" s="51" t="str">
        <f t="shared" si="161"/>
        <v>1+0.00654867043229441i</v>
      </c>
      <c r="AK195" s="51">
        <f t="shared" si="181"/>
        <v>1.000021442312329</v>
      </c>
      <c r="AL195" s="51">
        <f t="shared" si="182"/>
        <v>6.5485768212749755E-3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8.57671882177258+16.8260429196762i</v>
      </c>
      <c r="BG195" s="66">
        <f t="shared" si="198"/>
        <v>25.522736757674878</v>
      </c>
      <c r="BH195" s="63">
        <f t="shared" si="199"/>
        <v>62.990750597558254</v>
      </c>
      <c r="BI195" s="60" t="e">
        <f t="shared" si="203"/>
        <v>#NUM!</v>
      </c>
      <c r="BJ195" s="66" t="e">
        <f t="shared" si="200"/>
        <v>#NUM!</v>
      </c>
      <c r="BK195" s="63" t="e">
        <f t="shared" si="204"/>
        <v>#NUM!</v>
      </c>
      <c r="BL195" s="51">
        <f t="shared" si="201"/>
        <v>25.522736757674878</v>
      </c>
      <c r="BM195" s="63">
        <f t="shared" si="202"/>
        <v>62.990750597558254</v>
      </c>
    </row>
    <row r="196" spans="14:65" x14ac:dyDescent="0.3">
      <c r="N196" s="11">
        <v>78</v>
      </c>
      <c r="O196" s="52">
        <f t="shared" si="205"/>
        <v>602.55958607435832</v>
      </c>
      <c r="P196" s="50" t="str">
        <f t="shared" si="155"/>
        <v>23.3035714285714</v>
      </c>
      <c r="Q196" s="18" t="str">
        <f t="shared" si="156"/>
        <v>1+1.43597326331208i</v>
      </c>
      <c r="R196" s="18">
        <f t="shared" si="167"/>
        <v>1.7498626268787913</v>
      </c>
      <c r="S196" s="18">
        <f t="shared" si="168"/>
        <v>0.96249608291680755</v>
      </c>
      <c r="T196" s="18" t="str">
        <f t="shared" si="157"/>
        <v>1+0.00670120856212304i</v>
      </c>
      <c r="U196" s="18">
        <f t="shared" si="169"/>
        <v>1.0000224528460313</v>
      </c>
      <c r="V196" s="18">
        <f t="shared" si="170"/>
        <v>6.7011082562301663E-3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7.53321606403634-10.9828530692908i</v>
      </c>
      <c r="AD196" s="66">
        <f t="shared" si="176"/>
        <v>22.488860566626379</v>
      </c>
      <c r="AE196" s="63">
        <f t="shared" si="177"/>
        <v>-55.553500101969419</v>
      </c>
      <c r="AF196" s="51" t="e">
        <f t="shared" si="178"/>
        <v>#NUM!</v>
      </c>
      <c r="AG196" s="51" t="str">
        <f t="shared" si="160"/>
        <v>1-2.01036256863692i</v>
      </c>
      <c r="AH196" s="51">
        <f t="shared" si="179"/>
        <v>2.2453413231347334</v>
      </c>
      <c r="AI196" s="51">
        <f t="shared" si="180"/>
        <v>-1.1092126734258054</v>
      </c>
      <c r="AJ196" s="51" t="str">
        <f t="shared" si="161"/>
        <v>1+0.00670120856212304i</v>
      </c>
      <c r="AK196" s="51">
        <f t="shared" si="181"/>
        <v>1.0000224528460313</v>
      </c>
      <c r="AL196" s="51">
        <f t="shared" si="182"/>
        <v>6.7011082562301663E-3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8.32915837821748+16.2700998816114i</v>
      </c>
      <c r="BG196" s="66">
        <f t="shared" si="198"/>
        <v>25.23864814716395</v>
      </c>
      <c r="BH196" s="63">
        <f t="shared" si="199"/>
        <v>62.890714205436879</v>
      </c>
      <c r="BI196" s="60" t="e">
        <f t="shared" si="203"/>
        <v>#NUM!</v>
      </c>
      <c r="BJ196" s="66" t="e">
        <f t="shared" si="200"/>
        <v>#NUM!</v>
      </c>
      <c r="BK196" s="63" t="e">
        <f t="shared" si="204"/>
        <v>#NUM!</v>
      </c>
      <c r="BL196" s="51">
        <f t="shared" si="201"/>
        <v>25.23864814716395</v>
      </c>
      <c r="BM196" s="63">
        <f t="shared" si="202"/>
        <v>62.890714205436879</v>
      </c>
    </row>
    <row r="197" spans="14:65" x14ac:dyDescent="0.3">
      <c r="N197" s="11">
        <v>79</v>
      </c>
      <c r="O197" s="52">
        <f t="shared" si="205"/>
        <v>616.59500186148273</v>
      </c>
      <c r="P197" s="50" t="str">
        <f t="shared" si="155"/>
        <v>23.3035714285714</v>
      </c>
      <c r="Q197" s="18" t="str">
        <f t="shared" si="156"/>
        <v>1+1.46942137744978i</v>
      </c>
      <c r="R197" s="18">
        <f t="shared" si="167"/>
        <v>1.7774136222349621</v>
      </c>
      <c r="S197" s="18">
        <f t="shared" si="168"/>
        <v>0.97325051665672835</v>
      </c>
      <c r="T197" s="18" t="str">
        <f t="shared" si="157"/>
        <v>1+0.0068572997614323i</v>
      </c>
      <c r="U197" s="18">
        <f t="shared" si="169"/>
        <v>1.0000235110036255</v>
      </c>
      <c r="V197" s="18">
        <f t="shared" si="170"/>
        <v>6.8571922818681311E-3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7.29795574670481-10.892980212549i</v>
      </c>
      <c r="AD197" s="66">
        <f t="shared" si="176"/>
        <v>22.353192685767365</v>
      </c>
      <c r="AE197" s="63">
        <f t="shared" si="177"/>
        <v>-56.179152702844661</v>
      </c>
      <c r="AF197" s="51" t="e">
        <f t="shared" si="178"/>
        <v>#NUM!</v>
      </c>
      <c r="AG197" s="51" t="str">
        <f t="shared" si="160"/>
        <v>1-2.05718992842969i</v>
      </c>
      <c r="AH197" s="51">
        <f t="shared" si="179"/>
        <v>2.287363198451998</v>
      </c>
      <c r="AI197" s="51">
        <f t="shared" si="180"/>
        <v>-1.1183304341526548</v>
      </c>
      <c r="AJ197" s="51" t="str">
        <f t="shared" si="161"/>
        <v>1+0.0068572997614323i</v>
      </c>
      <c r="AK197" s="51">
        <f t="shared" si="181"/>
        <v>1.0000235110036255</v>
      </c>
      <c r="AL197" s="51">
        <f t="shared" si="182"/>
        <v>6.8571922818681311E-3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8.08551900193762+15.7333919278554i</v>
      </c>
      <c r="BG197" s="66">
        <f t="shared" si="198"/>
        <v>24.954267139607911</v>
      </c>
      <c r="BH197" s="63">
        <f t="shared" si="199"/>
        <v>62.800997118887771</v>
      </c>
      <c r="BI197" s="60" t="e">
        <f t="shared" si="203"/>
        <v>#NUM!</v>
      </c>
      <c r="BJ197" s="66" t="e">
        <f t="shared" si="200"/>
        <v>#NUM!</v>
      </c>
      <c r="BK197" s="63" t="e">
        <f t="shared" si="204"/>
        <v>#NUM!</v>
      </c>
      <c r="BL197" s="51">
        <f t="shared" si="201"/>
        <v>24.954267139607911</v>
      </c>
      <c r="BM197" s="63">
        <f t="shared" si="202"/>
        <v>62.800997118887771</v>
      </c>
    </row>
    <row r="198" spans="14:65" x14ac:dyDescent="0.3">
      <c r="N198" s="11">
        <v>80</v>
      </c>
      <c r="O198" s="52">
        <f t="shared" si="205"/>
        <v>630.95734448019323</v>
      </c>
      <c r="P198" s="50" t="str">
        <f t="shared" si="155"/>
        <v>23.3035714285714</v>
      </c>
      <c r="Q198" s="18" t="str">
        <f t="shared" si="156"/>
        <v>1+1.50364859825189i</v>
      </c>
      <c r="R198" s="18">
        <f t="shared" si="167"/>
        <v>1.8058125891201648</v>
      </c>
      <c r="S198" s="18">
        <f t="shared" si="168"/>
        <v>0.98391448107245572</v>
      </c>
      <c r="T198" s="18" t="str">
        <f t="shared" si="157"/>
        <v>1+0.00701702679184215i</v>
      </c>
      <c r="U198" s="18">
        <f t="shared" si="169"/>
        <v>1.0000246190294504</v>
      </c>
      <c r="V198" s="18">
        <f t="shared" si="170"/>
        <v>7.0169116255673503E-3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7.06663677599922-10.7988880537837i</v>
      </c>
      <c r="AD198" s="66">
        <f t="shared" si="176"/>
        <v>22.215533424440402</v>
      </c>
      <c r="AE198" s="63">
        <f t="shared" si="177"/>
        <v>-56.799842315880596</v>
      </c>
      <c r="AF198" s="51" t="e">
        <f t="shared" si="178"/>
        <v>#NUM!</v>
      </c>
      <c r="AG198" s="51" t="str">
        <f t="shared" si="160"/>
        <v>1-2.10510803755265i</v>
      </c>
      <c r="AH198" s="51">
        <f t="shared" si="179"/>
        <v>2.3305535500753396</v>
      </c>
      <c r="AI198" s="51">
        <f t="shared" si="180"/>
        <v>-1.127319432593314</v>
      </c>
      <c r="AJ198" s="51" t="str">
        <f t="shared" si="161"/>
        <v>1+0.00701702679184215i</v>
      </c>
      <c r="AK198" s="51">
        <f t="shared" si="181"/>
        <v>1.0000246190294504</v>
      </c>
      <c r="AL198" s="51">
        <f t="shared" si="182"/>
        <v>7.0169116255673503E-3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7.84596023926468+15.2153762240359i</v>
      </c>
      <c r="BG198" s="66">
        <f t="shared" si="198"/>
        <v>24.669665714752476</v>
      </c>
      <c r="BH198" s="63">
        <f t="shared" si="199"/>
        <v>62.721654445616657</v>
      </c>
      <c r="BI198" s="60" t="e">
        <f t="shared" si="203"/>
        <v>#NUM!</v>
      </c>
      <c r="BJ198" s="66" t="e">
        <f t="shared" si="200"/>
        <v>#NUM!</v>
      </c>
      <c r="BK198" s="63" t="e">
        <f t="shared" si="204"/>
        <v>#NUM!</v>
      </c>
      <c r="BL198" s="51">
        <f t="shared" si="201"/>
        <v>24.669665714752476</v>
      </c>
      <c r="BM198" s="63">
        <f t="shared" si="202"/>
        <v>62.721654445616657</v>
      </c>
    </row>
    <row r="199" spans="14:65" x14ac:dyDescent="0.3">
      <c r="N199" s="11">
        <v>81</v>
      </c>
      <c r="O199" s="52">
        <f t="shared" si="205"/>
        <v>645.65422903465594</v>
      </c>
      <c r="P199" s="50" t="str">
        <f t="shared" si="155"/>
        <v>23.3035714285714</v>
      </c>
      <c r="Q199" s="18" t="str">
        <f t="shared" si="156"/>
        <v>1+1.53867307344394i</v>
      </c>
      <c r="R199" s="18">
        <f t="shared" si="167"/>
        <v>1.8350789702193802</v>
      </c>
      <c r="S199" s="18">
        <f t="shared" si="168"/>
        <v>0.99448392862340107</v>
      </c>
      <c r="T199" s="18" t="str">
        <f t="shared" si="157"/>
        <v>1+0.00718047434273838i</v>
      </c>
      <c r="U199" s="18">
        <f t="shared" si="169"/>
        <v>1.0000257792736078</v>
      </c>
      <c r="V199" s="18">
        <f t="shared" si="170"/>
        <v>7.18035094002343E-3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6.83939992705636-10.7007834454862i</v>
      </c>
      <c r="AD199" s="66">
        <f t="shared" si="176"/>
        <v>22.075917104932334</v>
      </c>
      <c r="AE199" s="63">
        <f t="shared" si="177"/>
        <v>-57.415342168051652</v>
      </c>
      <c r="AF199" s="51" t="e">
        <f t="shared" si="178"/>
        <v>#NUM!</v>
      </c>
      <c r="AG199" s="51" t="str">
        <f t="shared" si="160"/>
        <v>1-2.15414230282152i</v>
      </c>
      <c r="AH199" s="51">
        <f t="shared" si="179"/>
        <v>2.3749376961944075</v>
      </c>
      <c r="AI199" s="51">
        <f t="shared" si="180"/>
        <v>-1.136178623205083</v>
      </c>
      <c r="AJ199" s="51" t="str">
        <f t="shared" si="161"/>
        <v>1+0.00718047434273838i</v>
      </c>
      <c r="AK199" s="51">
        <f t="shared" si="181"/>
        <v>1.0000257792736078</v>
      </c>
      <c r="AL199" s="51">
        <f t="shared" si="182"/>
        <v>7.18035094002343E-3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7.61062783043948+14.7155122484839i</v>
      </c>
      <c r="BG199" s="66">
        <f t="shared" si="198"/>
        <v>24.384916491981944</v>
      </c>
      <c r="BH199" s="63">
        <f t="shared" si="199"/>
        <v>62.652716906905901</v>
      </c>
      <c r="BI199" s="60" t="e">
        <f t="shared" si="203"/>
        <v>#NUM!</v>
      </c>
      <c r="BJ199" s="66" t="e">
        <f t="shared" si="200"/>
        <v>#NUM!</v>
      </c>
      <c r="BK199" s="63" t="e">
        <f t="shared" si="204"/>
        <v>#NUM!</v>
      </c>
      <c r="BL199" s="51">
        <f t="shared" si="201"/>
        <v>24.384916491981944</v>
      </c>
      <c r="BM199" s="63">
        <f t="shared" si="202"/>
        <v>62.652716906905901</v>
      </c>
    </row>
    <row r="200" spans="14:65" x14ac:dyDescent="0.3">
      <c r="N200" s="11">
        <v>82</v>
      </c>
      <c r="O200" s="52">
        <f t="shared" si="205"/>
        <v>660.69344800759643</v>
      </c>
      <c r="P200" s="50" t="str">
        <f t="shared" si="155"/>
        <v>23.3035714285714</v>
      </c>
      <c r="Q200" s="18" t="str">
        <f t="shared" si="156"/>
        <v>1+1.57451337346627i</v>
      </c>
      <c r="R200" s="18">
        <f t="shared" si="167"/>
        <v>1.8652325225623037</v>
      </c>
      <c r="S200" s="18">
        <f t="shared" si="168"/>
        <v>1.004955017245269</v>
      </c>
      <c r="T200" s="18" t="str">
        <f t="shared" si="157"/>
        <v>1+0.00734772907617594i</v>
      </c>
      <c r="U200" s="18">
        <f t="shared" si="169"/>
        <v>1.0000269941969451</v>
      </c>
      <c r="V200" s="18">
        <f t="shared" si="170"/>
        <v>7.3475968479773252E-3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6.61637255410188-10.5988773407468i</v>
      </c>
      <c r="AD200" s="66">
        <f t="shared" si="176"/>
        <v>21.934379196935765</v>
      </c>
      <c r="AE200" s="63">
        <f t="shared" si="177"/>
        <v>-58.025437378651908</v>
      </c>
      <c r="AF200" s="51" t="e">
        <f t="shared" si="178"/>
        <v>#NUM!</v>
      </c>
      <c r="AG200" s="51" t="str">
        <f t="shared" si="160"/>
        <v>1-2.20431872285279i</v>
      </c>
      <c r="AH200" s="51">
        <f t="shared" si="179"/>
        <v>2.420541474943025</v>
      </c>
      <c r="AI200" s="51">
        <f t="shared" si="180"/>
        <v>-1.1449071397094421</v>
      </c>
      <c r="AJ200" s="51" t="str">
        <f t="shared" si="161"/>
        <v>1+0.00734772907617594i</v>
      </c>
      <c r="AK200" s="51">
        <f t="shared" si="181"/>
        <v>1.0000269941969451</v>
      </c>
      <c r="AL200" s="51">
        <f t="shared" si="182"/>
        <v>7.3475968479773252E-3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7.37965361599025+14.233262654669i</v>
      </c>
      <c r="BG200" s="66">
        <f t="shared" si="198"/>
        <v>24.100092504903419</v>
      </c>
      <c r="BH200" s="63">
        <f t="shared" si="199"/>
        <v>62.594190570095307</v>
      </c>
      <c r="BI200" s="60" t="e">
        <f t="shared" si="203"/>
        <v>#NUM!</v>
      </c>
      <c r="BJ200" s="66" t="e">
        <f t="shared" si="200"/>
        <v>#NUM!</v>
      </c>
      <c r="BK200" s="63" t="e">
        <f t="shared" si="204"/>
        <v>#NUM!</v>
      </c>
      <c r="BL200" s="51">
        <f t="shared" si="201"/>
        <v>24.100092504903419</v>
      </c>
      <c r="BM200" s="63">
        <f t="shared" si="202"/>
        <v>62.594190570095307</v>
      </c>
    </row>
    <row r="201" spans="14:65" x14ac:dyDescent="0.3">
      <c r="N201" s="11">
        <v>83</v>
      </c>
      <c r="O201" s="52">
        <f t="shared" si="205"/>
        <v>676.08297539198213</v>
      </c>
      <c r="P201" s="50" t="str">
        <f t="shared" si="155"/>
        <v>23.3035714285714</v>
      </c>
      <c r="Q201" s="18" t="str">
        <f t="shared" si="156"/>
        <v>1+1.61118850132037i</v>
      </c>
      <c r="R201" s="18">
        <f t="shared" si="167"/>
        <v>1.8962933282556738</v>
      </c>
      <c r="S201" s="18">
        <f t="shared" si="168"/>
        <v>1.0153241138970286</v>
      </c>
      <c r="T201" s="18" t="str">
        <f t="shared" si="157"/>
        <v>1+0.00751887967282838i</v>
      </c>
      <c r="U201" s="18">
        <f t="shared" si="169"/>
        <v>1.0000282663762732</v>
      </c>
      <c r="V201" s="18">
        <f t="shared" si="170"/>
        <v>7.5187379879771621E-3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6.39766858289698-10.4933838107134i</v>
      </c>
      <c r="AD201" s="66">
        <f t="shared" si="176"/>
        <v>21.790956202954138</v>
      </c>
      <c r="AE201" s="63">
        <f t="shared" si="177"/>
        <v>-58.629925165288348</v>
      </c>
      <c r="AF201" s="51" t="e">
        <f t="shared" si="178"/>
        <v>#NUM!</v>
      </c>
      <c r="AG201" s="51" t="str">
        <f t="shared" si="160"/>
        <v>1-2.25566390184852i</v>
      </c>
      <c r="AH201" s="51">
        <f t="shared" si="179"/>
        <v>2.4673912616572364</v>
      </c>
      <c r="AI201" s="51">
        <f t="shared" si="180"/>
        <v>-1.1535042890566944</v>
      </c>
      <c r="AJ201" s="51" t="str">
        <f t="shared" si="161"/>
        <v>1+0.00751887967282838i</v>
      </c>
      <c r="AK201" s="51">
        <f t="shared" si="181"/>
        <v>1.0000282663762732</v>
      </c>
      <c r="AL201" s="51">
        <f t="shared" si="182"/>
        <v>7.5187379879771621E-3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7.1531555288272+13.7680941195963i</v>
      </c>
      <c r="BG201" s="66">
        <f t="shared" si="198"/>
        <v>23.815266973487368</v>
      </c>
      <c r="BH201" s="63">
        <f t="shared" si="199"/>
        <v>62.546056686136268</v>
      </c>
      <c r="BI201" s="60" t="e">
        <f t="shared" si="203"/>
        <v>#NUM!</v>
      </c>
      <c r="BJ201" s="66" t="e">
        <f t="shared" si="200"/>
        <v>#NUM!</v>
      </c>
      <c r="BK201" s="63" t="e">
        <f t="shared" si="204"/>
        <v>#NUM!</v>
      </c>
      <c r="BL201" s="51">
        <f t="shared" si="201"/>
        <v>23.815266973487368</v>
      </c>
      <c r="BM201" s="63">
        <f t="shared" si="202"/>
        <v>62.546056686136268</v>
      </c>
    </row>
    <row r="202" spans="14:65" x14ac:dyDescent="0.3">
      <c r="N202" s="11">
        <v>84</v>
      </c>
      <c r="O202" s="52">
        <f t="shared" si="205"/>
        <v>691.83097091893671</v>
      </c>
      <c r="P202" s="50" t="str">
        <f t="shared" si="155"/>
        <v>23.3035714285714</v>
      </c>
      <c r="Q202" s="18" t="str">
        <f t="shared" si="156"/>
        <v>1+1.64871790264446i</v>
      </c>
      <c r="R202" s="18">
        <f t="shared" si="167"/>
        <v>1.9282818057795255</v>
      </c>
      <c r="S202" s="18">
        <f t="shared" si="168"/>
        <v>1.0255877971532816</v>
      </c>
      <c r="T202" s="18" t="str">
        <f t="shared" si="157"/>
        <v>1+0.00769401687900748i</v>
      </c>
      <c r="U202" s="18">
        <f t="shared" si="169"/>
        <v>1.0000295985098313</v>
      </c>
      <c r="V202" s="18">
        <f t="shared" si="170"/>
        <v>7.6938650611968265E-3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6.18338858189923-10.3845190865999i</v>
      </c>
      <c r="AD202" s="66">
        <f t="shared" si="176"/>
        <v>21.645685543987337</v>
      </c>
      <c r="AE202" s="63">
        <f t="shared" si="177"/>
        <v>-59.228614995244421</v>
      </c>
      <c r="AF202" s="51" t="e">
        <f t="shared" si="178"/>
        <v>#NUM!</v>
      </c>
      <c r="AG202" s="51" t="str">
        <f t="shared" si="160"/>
        <v>1-2.30820506370225i</v>
      </c>
      <c r="AH202" s="51">
        <f t="shared" si="179"/>
        <v>2.515513986464935</v>
      </c>
      <c r="AI202" s="51">
        <f t="shared" si="180"/>
        <v>-1.1619695451387051</v>
      </c>
      <c r="AJ202" s="51" t="str">
        <f t="shared" si="161"/>
        <v>1+0.00769401687900748i</v>
      </c>
      <c r="AK202" s="51">
        <f t="shared" si="181"/>
        <v>1.0000295985098313</v>
      </c>
      <c r="AL202" s="51">
        <f t="shared" si="182"/>
        <v>7.6938650611968265E-3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6.93123766784563+13.3194781706301i</v>
      </c>
      <c r="BG202" s="66">
        <f t="shared" si="198"/>
        <v>23.530513075030299</v>
      </c>
      <c r="BH202" s="63">
        <f t="shared" si="199"/>
        <v>62.508271633194596</v>
      </c>
      <c r="BI202" s="60" t="e">
        <f t="shared" si="203"/>
        <v>#NUM!</v>
      </c>
      <c r="BJ202" s="66" t="e">
        <f t="shared" si="200"/>
        <v>#NUM!</v>
      </c>
      <c r="BK202" s="63" t="e">
        <f t="shared" si="204"/>
        <v>#NUM!</v>
      </c>
      <c r="BL202" s="51">
        <f t="shared" si="201"/>
        <v>23.530513075030299</v>
      </c>
      <c r="BM202" s="63">
        <f t="shared" si="202"/>
        <v>62.508271633194596</v>
      </c>
    </row>
    <row r="203" spans="14:65" x14ac:dyDescent="0.3">
      <c r="N203" s="11">
        <v>85</v>
      </c>
      <c r="O203" s="52">
        <f t="shared" si="205"/>
        <v>707.94578438413873</v>
      </c>
      <c r="P203" s="50" t="str">
        <f t="shared" si="155"/>
        <v>23.3035714285714</v>
      </c>
      <c r="Q203" s="18" t="str">
        <f t="shared" si="156"/>
        <v>1+1.6871214760239i</v>
      </c>
      <c r="R203" s="18">
        <f t="shared" si="167"/>
        <v>1.9612187218311634</v>
      </c>
      <c r="S203" s="18">
        <f t="shared" si="168"/>
        <v>1.0357428588695001</v>
      </c>
      <c r="T203" s="18" t="str">
        <f t="shared" si="157"/>
        <v>1+0.00787323355477821i</v>
      </c>
      <c r="U203" s="18">
        <f t="shared" si="169"/>
        <v>1.0000309934230081</v>
      </c>
      <c r="V203" s="18">
        <f t="shared" si="170"/>
        <v>7.8730708793355118E-3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5.97361990745379-10.2725006327566i</v>
      </c>
      <c r="AD203" s="66">
        <f t="shared" si="176"/>
        <v>21.498605446150009</v>
      </c>
      <c r="AE203" s="63">
        <f t="shared" si="177"/>
        <v>-59.821328683785495</v>
      </c>
      <c r="AF203" s="51" t="e">
        <f t="shared" si="178"/>
        <v>#NUM!</v>
      </c>
      <c r="AG203" s="51" t="str">
        <f t="shared" si="160"/>
        <v>1-2.36197006643347i</v>
      </c>
      <c r="AH203" s="51">
        <f t="shared" si="179"/>
        <v>2.5649371521984183</v>
      </c>
      <c r="AI203" s="51">
        <f t="shared" si="180"/>
        <v>-1.1703025422980358</v>
      </c>
      <c r="AJ203" s="51" t="str">
        <f t="shared" si="161"/>
        <v>1+0.00787323355477821i</v>
      </c>
      <c r="AK203" s="51">
        <f t="shared" si="181"/>
        <v>1.0000309934230081</v>
      </c>
      <c r="AL203" s="51">
        <f t="shared" si="182"/>
        <v>7.8730708793355118E-3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6.71399044818745+12.8868919839112i</v>
      </c>
      <c r="BG203" s="66">
        <f t="shared" si="198"/>
        <v>23.245903715209444</v>
      </c>
      <c r="BH203" s="63">
        <f t="shared" si="199"/>
        <v>62.480766966577661</v>
      </c>
      <c r="BI203" s="60" t="e">
        <f t="shared" si="203"/>
        <v>#NUM!</v>
      </c>
      <c r="BJ203" s="66" t="e">
        <f t="shared" si="200"/>
        <v>#NUM!</v>
      </c>
      <c r="BK203" s="63" t="e">
        <f t="shared" si="204"/>
        <v>#NUM!</v>
      </c>
      <c r="BL203" s="51">
        <f t="shared" si="201"/>
        <v>23.245903715209444</v>
      </c>
      <c r="BM203" s="63">
        <f t="shared" si="202"/>
        <v>62.480766966577661</v>
      </c>
    </row>
    <row r="204" spans="14:65" x14ac:dyDescent="0.3">
      <c r="N204" s="11">
        <v>86</v>
      </c>
      <c r="O204" s="52">
        <f t="shared" si="205"/>
        <v>724.43596007499025</v>
      </c>
      <c r="P204" s="50" t="str">
        <f t="shared" si="155"/>
        <v>23.3035714285714</v>
      </c>
      <c r="Q204" s="18" t="str">
        <f t="shared" si="156"/>
        <v>1+1.72641958354162i</v>
      </c>
      <c r="R204" s="18">
        <f t="shared" si="167"/>
        <v>1.9951252036992619</v>
      </c>
      <c r="S204" s="18">
        <f t="shared" si="168"/>
        <v>1.0457863049534992</v>
      </c>
      <c r="T204" s="18" t="str">
        <f t="shared" si="157"/>
        <v>1+0.00805662472319423i</v>
      </c>
      <c r="U204" s="18">
        <f t="shared" si="169"/>
        <v>1.0000324540743317</v>
      </c>
      <c r="V204" s="18">
        <f t="shared" si="170"/>
        <v>8.0564504136224121E-3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5.7684369178209-10.1575462565898i</v>
      </c>
      <c r="AD204" s="66">
        <f t="shared" si="176"/>
        <v>21.349754828833905</v>
      </c>
      <c r="AE204" s="63">
        <f t="shared" si="177"/>
        <v>-60.407900441326007</v>
      </c>
      <c r="AF204" s="51" t="e">
        <f t="shared" si="178"/>
        <v>#NUM!</v>
      </c>
      <c r="AG204" s="51" t="str">
        <f t="shared" si="160"/>
        <v>1-2.41698741695827i</v>
      </c>
      <c r="AH204" s="51">
        <f t="shared" si="179"/>
        <v>2.6156888526226907</v>
      </c>
      <c r="AI204" s="51">
        <f t="shared" si="180"/>
        <v>-1.1785030686793594</v>
      </c>
      <c r="AJ204" s="51" t="str">
        <f t="shared" si="161"/>
        <v>1+0.00805662472319423i</v>
      </c>
      <c r="AK204" s="51">
        <f t="shared" si="181"/>
        <v>1.0000324540743317</v>
      </c>
      <c r="AL204" s="51">
        <f t="shared" si="182"/>
        <v>8.0564504136224121E-3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6.50149082278118+12.4698191482874i</v>
      </c>
      <c r="BG204" s="66">
        <f t="shared" si="198"/>
        <v>22.961511300497154</v>
      </c>
      <c r="BH204" s="63">
        <f t="shared" si="199"/>
        <v>62.463449574557565</v>
      </c>
      <c r="BI204" s="60" t="e">
        <f t="shared" si="203"/>
        <v>#NUM!</v>
      </c>
      <c r="BJ204" s="66" t="e">
        <f t="shared" si="200"/>
        <v>#NUM!</v>
      </c>
      <c r="BK204" s="63" t="e">
        <f t="shared" si="204"/>
        <v>#NUM!</v>
      </c>
      <c r="BL204" s="51">
        <f t="shared" si="201"/>
        <v>22.961511300497154</v>
      </c>
      <c r="BM204" s="63">
        <f t="shared" si="202"/>
        <v>62.463449574557565</v>
      </c>
    </row>
    <row r="205" spans="14:65" x14ac:dyDescent="0.3">
      <c r="N205" s="11">
        <v>87</v>
      </c>
      <c r="O205" s="52">
        <f t="shared" si="205"/>
        <v>741.31024130091828</v>
      </c>
      <c r="P205" s="50" t="str">
        <f t="shared" si="155"/>
        <v>23.3035714285714</v>
      </c>
      <c r="Q205" s="18" t="str">
        <f t="shared" si="156"/>
        <v>1+1.7666330615744i</v>
      </c>
      <c r="R205" s="18">
        <f t="shared" si="167"/>
        <v>2.0300227521502654</v>
      </c>
      <c r="S205" s="18">
        <f t="shared" si="168"/>
        <v>1.0557153552819787</v>
      </c>
      <c r="T205" s="18" t="str">
        <f t="shared" si="157"/>
        <v>1+0.00824428762068052i</v>
      </c>
      <c r="U205" s="18">
        <f t="shared" si="169"/>
        <v>1.0000339835617449</v>
      </c>
      <c r="V205" s="18">
        <f t="shared" si="170"/>
        <v>8.2441008449520275E-3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5.56790125044112-10.0398732603589i</v>
      </c>
      <c r="AD205" s="66">
        <f t="shared" si="176"/>
        <v>21.199173194977902</v>
      </c>
      <c r="AE205" s="63">
        <f t="shared" si="177"/>
        <v>-60.988176871673808</v>
      </c>
      <c r="AF205" s="51" t="e">
        <f t="shared" si="178"/>
        <v>#NUM!</v>
      </c>
      <c r="AG205" s="51" t="str">
        <f t="shared" si="160"/>
        <v>1-2.47328628620416i</v>
      </c>
      <c r="AH205" s="51">
        <f t="shared" si="179"/>
        <v>2.6677977909739647</v>
      </c>
      <c r="AI205" s="51">
        <f t="shared" si="180"/>
        <v>-1.1865710594664773</v>
      </c>
      <c r="AJ205" s="51" t="str">
        <f t="shared" si="161"/>
        <v>1+0.00824428762068052i</v>
      </c>
      <c r="AK205" s="51">
        <f t="shared" si="181"/>
        <v>1.0000339835617449</v>
      </c>
      <c r="AL205" s="51">
        <f t="shared" si="182"/>
        <v>8.2441008449520275E-3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6.29380256936109+12.0677503894686i</v>
      </c>
      <c r="BG205" s="66">
        <f t="shared" si="198"/>
        <v>22.677407513195895</v>
      </c>
      <c r="BH205" s="63">
        <f t="shared" si="199"/>
        <v>62.456201938976392</v>
      </c>
      <c r="BI205" s="60" t="e">
        <f t="shared" si="203"/>
        <v>#NUM!</v>
      </c>
      <c r="BJ205" s="66" t="e">
        <f t="shared" si="200"/>
        <v>#NUM!</v>
      </c>
      <c r="BK205" s="63" t="e">
        <f t="shared" si="204"/>
        <v>#NUM!</v>
      </c>
      <c r="BL205" s="51">
        <f t="shared" si="201"/>
        <v>22.677407513195895</v>
      </c>
      <c r="BM205" s="63">
        <f t="shared" si="202"/>
        <v>62.456201938976392</v>
      </c>
    </row>
    <row r="206" spans="14:65" x14ac:dyDescent="0.3">
      <c r="N206" s="11">
        <v>88</v>
      </c>
      <c r="O206" s="52">
        <f t="shared" si="205"/>
        <v>758.57757502918378</v>
      </c>
      <c r="P206" s="50" t="str">
        <f t="shared" si="155"/>
        <v>23.3035714285714</v>
      </c>
      <c r="Q206" s="18" t="str">
        <f t="shared" si="156"/>
        <v>1+1.80778323184057i</v>
      </c>
      <c r="R206" s="18">
        <f t="shared" si="167"/>
        <v>2.0659332548085709</v>
      </c>
      <c r="S206" s="18">
        <f t="shared" si="168"/>
        <v>1.0655274428054262</v>
      </c>
      <c r="T206" s="18" t="str">
        <f t="shared" si="157"/>
        <v>1+0.00843632174858935i</v>
      </c>
      <c r="U206" s="18">
        <f t="shared" si="169"/>
        <v>1.0000355851291722</v>
      </c>
      <c r="V206" s="18">
        <f t="shared" si="170"/>
        <v>8.4361216151751448E-3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5.37206215653809-9.91969763911399i</v>
      </c>
      <c r="AD206" s="66">
        <f t="shared" si="176"/>
        <v>21.046900523962236</v>
      </c>
      <c r="AE206" s="63">
        <f t="shared" si="177"/>
        <v>-61.562016923847303</v>
      </c>
      <c r="AF206" s="51" t="e">
        <f t="shared" si="178"/>
        <v>#NUM!</v>
      </c>
      <c r="AG206" s="51" t="str">
        <f t="shared" si="160"/>
        <v>1-2.53089652457681i</v>
      </c>
      <c r="AH206" s="51">
        <f t="shared" si="179"/>
        <v>2.7212932988038929</v>
      </c>
      <c r="AI206" s="51">
        <f t="shared" si="180"/>
        <v>-1.1945065900454426</v>
      </c>
      <c r="AJ206" s="51" t="str">
        <f t="shared" si="161"/>
        <v>1+0.00843632174858935i</v>
      </c>
      <c r="AK206" s="51">
        <f t="shared" si="181"/>
        <v>1.0000355851291722</v>
      </c>
      <c r="AL206" s="51">
        <f t="shared" si="182"/>
        <v>8.4361216151751448E-3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6.09097663686071+11.6801842499114i</v>
      </c>
      <c r="BG206" s="66">
        <f t="shared" si="198"/>
        <v>22.393663090335018</v>
      </c>
      <c r="BH206" s="63">
        <f t="shared" si="199"/>
        <v>62.458882498799959</v>
      </c>
      <c r="BI206" s="60" t="e">
        <f t="shared" si="203"/>
        <v>#NUM!</v>
      </c>
      <c r="BJ206" s="66" t="e">
        <f t="shared" si="200"/>
        <v>#NUM!</v>
      </c>
      <c r="BK206" s="63" t="e">
        <f t="shared" si="204"/>
        <v>#NUM!</v>
      </c>
      <c r="BL206" s="51">
        <f t="shared" si="201"/>
        <v>22.393663090335018</v>
      </c>
      <c r="BM206" s="63">
        <f t="shared" si="202"/>
        <v>62.458882498799959</v>
      </c>
    </row>
    <row r="207" spans="14:65" x14ac:dyDescent="0.3">
      <c r="N207" s="11">
        <v>89</v>
      </c>
      <c r="O207" s="52">
        <f t="shared" si="205"/>
        <v>776.24711662869231</v>
      </c>
      <c r="P207" s="50" t="str">
        <f t="shared" si="155"/>
        <v>23.3035714285714</v>
      </c>
      <c r="Q207" s="18" t="str">
        <f t="shared" si="156"/>
        <v>1+1.84989191270511i</v>
      </c>
      <c r="R207" s="18">
        <f t="shared" si="167"/>
        <v>2.1028790000120718</v>
      </c>
      <c r="S207" s="18">
        <f t="shared" si="168"/>
        <v>1.0752202118885568</v>
      </c>
      <c r="T207" s="18" t="str">
        <f t="shared" si="157"/>
        <v>1+0.0086328289259572i</v>
      </c>
      <c r="U207" s="18">
        <f t="shared" si="169"/>
        <v>1.0000372621733975</v>
      </c>
      <c r="V207" s="18">
        <f t="shared" si="170"/>
        <v>8.6326144795718096E-3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5.18095688696179-9.79723332826133i</v>
      </c>
      <c r="AD207" s="66">
        <f t="shared" si="176"/>
        <v>20.892977167589123</v>
      </c>
      <c r="AE207" s="63">
        <f t="shared" si="177"/>
        <v>-62.129291800158576</v>
      </c>
      <c r="AF207" s="51" t="e">
        <f t="shared" si="178"/>
        <v>#NUM!</v>
      </c>
      <c r="AG207" s="51" t="str">
        <f t="shared" si="160"/>
        <v>1-2.58984867778717i</v>
      </c>
      <c r="AH207" s="51">
        <f t="shared" si="179"/>
        <v>2.7762053551270212</v>
      </c>
      <c r="AI207" s="51">
        <f t="shared" si="180"/>
        <v>-1.2023098691315226</v>
      </c>
      <c r="AJ207" s="51" t="str">
        <f t="shared" si="161"/>
        <v>1+0.0086328289259572i</v>
      </c>
      <c r="AK207" s="51">
        <f t="shared" si="181"/>
        <v>1.0000372621733975</v>
      </c>
      <c r="AL207" s="51">
        <f t="shared" si="182"/>
        <v>8.6326144795718096E-3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5.89305154486091+11.3066277207379i</v>
      </c>
      <c r="BG207" s="66">
        <f t="shared" si="198"/>
        <v>22.110347607640254</v>
      </c>
      <c r="BH207" s="63">
        <f t="shared" si="199"/>
        <v>62.471326114141021</v>
      </c>
      <c r="BI207" s="60" t="e">
        <f t="shared" si="203"/>
        <v>#NUM!</v>
      </c>
      <c r="BJ207" s="66" t="e">
        <f t="shared" si="200"/>
        <v>#NUM!</v>
      </c>
      <c r="BK207" s="63" t="e">
        <f t="shared" si="204"/>
        <v>#NUM!</v>
      </c>
      <c r="BL207" s="51">
        <f t="shared" si="201"/>
        <v>22.110347607640254</v>
      </c>
      <c r="BM207" s="63">
        <f t="shared" si="202"/>
        <v>62.471326114141021</v>
      </c>
    </row>
    <row r="208" spans="14:65" x14ac:dyDescent="0.3">
      <c r="N208" s="11">
        <v>90</v>
      </c>
      <c r="O208" s="52">
        <f t="shared" si="205"/>
        <v>794.32823472428208</v>
      </c>
      <c r="P208" s="50" t="str">
        <f t="shared" si="155"/>
        <v>23.3035714285714</v>
      </c>
      <c r="Q208" s="18" t="str">
        <f t="shared" si="156"/>
        <v>1+1.89298143074798i</v>
      </c>
      <c r="R208" s="18">
        <f t="shared" si="167"/>
        <v>2.1408826911245438</v>
      </c>
      <c r="S208" s="18">
        <f t="shared" si="168"/>
        <v>1.0847915159364514</v>
      </c>
      <c r="T208" s="18" t="str">
        <f t="shared" si="157"/>
        <v>1+0.0088339133434906i</v>
      </c>
      <c r="U208" s="18">
        <f t="shared" si="169"/>
        <v>1.0000390182512682</v>
      </c>
      <c r="V208" s="18">
        <f t="shared" si="170"/>
        <v>8.8336835605329223E-3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4.9946111230737-9.67269150349401i</v>
      </c>
      <c r="AD208" s="66">
        <f t="shared" si="176"/>
        <v>20.737443749563699</v>
      </c>
      <c r="AE208" s="63">
        <f t="shared" si="177"/>
        <v>-62.689884823443258</v>
      </c>
      <c r="AF208" s="51" t="e">
        <f t="shared" si="178"/>
        <v>#NUM!</v>
      </c>
      <c r="AG208" s="51" t="str">
        <f t="shared" si="160"/>
        <v>1-2.65017400304718i</v>
      </c>
      <c r="AH208" s="51">
        <f t="shared" si="179"/>
        <v>2.8325646058699374</v>
      </c>
      <c r="AI208" s="51">
        <f t="shared" si="180"/>
        <v>-1.2099812318947545</v>
      </c>
      <c r="AJ208" s="51" t="str">
        <f t="shared" si="161"/>
        <v>1+0.0088339133434906i</v>
      </c>
      <c r="AK208" s="51">
        <f t="shared" si="181"/>
        <v>1.0000390182512682</v>
      </c>
      <c r="AL208" s="51">
        <f t="shared" si="182"/>
        <v>8.8336835605329223E-3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5.7000538296764+10.9465968227812i</v>
      </c>
      <c r="BG208" s="66">
        <f t="shared" si="198"/>
        <v>21.827529269754567</v>
      </c>
      <c r="BH208" s="63">
        <f t="shared" si="199"/>
        <v>62.493344627579795</v>
      </c>
      <c r="BI208" s="60" t="e">
        <f t="shared" si="203"/>
        <v>#NUM!</v>
      </c>
      <c r="BJ208" s="66" t="e">
        <f t="shared" si="200"/>
        <v>#NUM!</v>
      </c>
      <c r="BK208" s="63" t="e">
        <f t="shared" si="204"/>
        <v>#NUM!</v>
      </c>
      <c r="BL208" s="51">
        <f t="shared" si="201"/>
        <v>21.827529269754567</v>
      </c>
      <c r="BM208" s="63">
        <f t="shared" si="202"/>
        <v>62.493344627579795</v>
      </c>
    </row>
    <row r="209" spans="14:65" x14ac:dyDescent="0.3">
      <c r="N209" s="11">
        <v>91</v>
      </c>
      <c r="O209" s="52">
        <f t="shared" si="205"/>
        <v>812.83051616409978</v>
      </c>
      <c r="P209" s="50" t="str">
        <f t="shared" si="155"/>
        <v>23.3035714285714</v>
      </c>
      <c r="Q209" s="18" t="str">
        <f t="shared" si="156"/>
        <v>1+1.93707463260201i</v>
      </c>
      <c r="R209" s="18">
        <f t="shared" si="167"/>
        <v>2.1799674612870281</v>
      </c>
      <c r="S209" s="18">
        <f t="shared" si="168"/>
        <v>1.0942394143589718</v>
      </c>
      <c r="T209" s="18" t="str">
        <f t="shared" si="157"/>
        <v>1+0.00903968161880937i</v>
      </c>
      <c r="U209" s="18">
        <f t="shared" si="169"/>
        <v>1.0000408570872339</v>
      </c>
      <c r="V209" s="18">
        <f t="shared" si="170"/>
        <v>9.0394354024774942E-3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4.81303944645983-9.54627993508704i</v>
      </c>
      <c r="AD209" s="66">
        <f t="shared" si="176"/>
        <v>20.580341068831562</v>
      </c>
      <c r="AE209" s="63">
        <f t="shared" si="177"/>
        <v>-63.243691266451094</v>
      </c>
      <c r="AF209" s="51" t="e">
        <f t="shared" si="178"/>
        <v>#NUM!</v>
      </c>
      <c r="AG209" s="51" t="str">
        <f t="shared" si="160"/>
        <v>1-2.71190448564282i</v>
      </c>
      <c r="AH209" s="51">
        <f t="shared" si="179"/>
        <v>2.8904023836223298</v>
      </c>
      <c r="AI209" s="51">
        <f t="shared" si="180"/>
        <v>-1.2175211331159583</v>
      </c>
      <c r="AJ209" s="51" t="str">
        <f t="shared" si="161"/>
        <v>1+0.00903968161880937i</v>
      </c>
      <c r="AK209" s="51">
        <f t="shared" si="181"/>
        <v>1.0000408570872339</v>
      </c>
      <c r="AL209" s="51">
        <f t="shared" si="182"/>
        <v>9.0394354024774942E-3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5.51199853064552+10.5996171346076i</v>
      </c>
      <c r="BG209" s="66">
        <f t="shared" si="198"/>
        <v>21.545274707840733</v>
      </c>
      <c r="BH209" s="63">
        <f t="shared" si="199"/>
        <v>62.524727518982374</v>
      </c>
      <c r="BI209" s="60" t="e">
        <f t="shared" si="203"/>
        <v>#NUM!</v>
      </c>
      <c r="BJ209" s="66" t="e">
        <f t="shared" si="200"/>
        <v>#NUM!</v>
      </c>
      <c r="BK209" s="63" t="e">
        <f t="shared" si="204"/>
        <v>#NUM!</v>
      </c>
      <c r="BL209" s="51">
        <f t="shared" si="201"/>
        <v>21.545274707840733</v>
      </c>
      <c r="BM209" s="63">
        <f t="shared" si="202"/>
        <v>62.524727518982374</v>
      </c>
    </row>
    <row r="210" spans="14:65" x14ac:dyDescent="0.3">
      <c r="N210" s="11">
        <v>92</v>
      </c>
      <c r="O210" s="52">
        <f t="shared" si="205"/>
        <v>831.7637711026714</v>
      </c>
      <c r="P210" s="50" t="str">
        <f t="shared" si="155"/>
        <v>23.3035714285714</v>
      </c>
      <c r="Q210" s="18" t="str">
        <f t="shared" si="156"/>
        <v>1+1.98219489706645i</v>
      </c>
      <c r="R210" s="18">
        <f t="shared" si="167"/>
        <v>2.2201568885905956</v>
      </c>
      <c r="S210" s="18">
        <f t="shared" si="168"/>
        <v>1.1035621689275599</v>
      </c>
      <c r="T210" s="18" t="str">
        <f t="shared" si="157"/>
        <v>1+0.00925024285297677i</v>
      </c>
      <c r="U210" s="18">
        <f t="shared" si="169"/>
        <v>1.0000427825812448</v>
      </c>
      <c r="V210" s="18">
        <f t="shared" si="170"/>
        <v>9.249979028033475E-3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4.63624584133024-9.41820239786136i</v>
      </c>
      <c r="AD210" s="66">
        <f t="shared" si="176"/>
        <v>20.421710007079959</v>
      </c>
      <c r="AE210" s="63">
        <f t="shared" si="177"/>
        <v>-63.790618146497891</v>
      </c>
      <c r="AF210" s="51" t="e">
        <f t="shared" si="178"/>
        <v>#NUM!</v>
      </c>
      <c r="AG210" s="51" t="str">
        <f t="shared" si="160"/>
        <v>1-2.77507285589304i</v>
      </c>
      <c r="AH210" s="51">
        <f t="shared" si="179"/>
        <v>2.9497507276911308</v>
      </c>
      <c r="AI210" s="51">
        <f t="shared" si="180"/>
        <v>-1.2249301404021073</v>
      </c>
      <c r="AJ210" s="51" t="str">
        <f t="shared" si="161"/>
        <v>1+0.00925024285297677i</v>
      </c>
      <c r="AK210" s="51">
        <f t="shared" si="181"/>
        <v>1.0000427825812448</v>
      </c>
      <c r="AL210" s="51">
        <f t="shared" si="182"/>
        <v>9.249979028033475E-3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5.32888971026275+10.2652242660922i</v>
      </c>
      <c r="BG210" s="66">
        <f t="shared" si="198"/>
        <v>21.263648785643984</v>
      </c>
      <c r="BH210" s="63">
        <f t="shared" si="199"/>
        <v>62.565242649392239</v>
      </c>
      <c r="BI210" s="60" t="e">
        <f t="shared" si="203"/>
        <v>#NUM!</v>
      </c>
      <c r="BJ210" s="66" t="e">
        <f t="shared" si="200"/>
        <v>#NUM!</v>
      </c>
      <c r="BK210" s="63" t="e">
        <f t="shared" si="204"/>
        <v>#NUM!</v>
      </c>
      <c r="BL210" s="51">
        <f t="shared" si="201"/>
        <v>21.263648785643984</v>
      </c>
      <c r="BM210" s="63">
        <f t="shared" si="202"/>
        <v>62.565242649392239</v>
      </c>
    </row>
    <row r="211" spans="14:65" x14ac:dyDescent="0.3">
      <c r="N211" s="11">
        <v>93</v>
      </c>
      <c r="O211" s="52">
        <f t="shared" si="205"/>
        <v>851.13803820237763</v>
      </c>
      <c r="P211" s="50" t="str">
        <f t="shared" ref="P211:P274" si="206">COMPLEX(Adc,0)</f>
        <v>23.3035714285714</v>
      </c>
      <c r="Q211" s="18" t="str">
        <f t="shared" ref="Q211:Q274" si="207">IMSUM(COMPLEX(1,0),IMDIV(COMPLEX(0,2*PI()*O211),COMPLEX(wp_lf,0)))</f>
        <v>1+2.02836614750277i</v>
      </c>
      <c r="R211" s="18">
        <f t="shared" si="167"/>
        <v>2.2614750116539488</v>
      </c>
      <c r="S211" s="18">
        <f t="shared" si="168"/>
        <v>1.1127582395795625</v>
      </c>
      <c r="T211" s="18" t="str">
        <f t="shared" ref="T211:T274" si="208">IMSUM(COMPLEX(1,0),IMDIV(COMPLEX(0,2*PI()*O211),COMPLEX(wz_esr,0)))</f>
        <v>1+0.00946570868834627i</v>
      </c>
      <c r="U211" s="18">
        <f t="shared" si="169"/>
        <v>1.0000447988170194</v>
      </c>
      <c r="V211" s="18">
        <f t="shared" si="170"/>
        <v>9.4654259955102779E-3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4.46422422360352-9.28865813746262i</v>
      </c>
      <c r="AD211" s="66">
        <f t="shared" si="176"/>
        <v>20.261591440655348</v>
      </c>
      <c r="AE211" s="63">
        <f t="shared" si="177"/>
        <v>-64.330583988540155</v>
      </c>
      <c r="AF211" s="51" t="e">
        <f t="shared" si="178"/>
        <v>#NUM!</v>
      </c>
      <c r="AG211" s="51" t="str">
        <f t="shared" ref="AG211:AG274" si="211">IMSUM(COMPLEX(1,0),IMDIV(COMPLEX(0,2*PI()*O211),COMPLEX(wp_lf_DCM,0)))</f>
        <v>1-2.83971260650389i</v>
      </c>
      <c r="AH211" s="51">
        <f t="shared" si="179"/>
        <v>3.0106424044607345</v>
      </c>
      <c r="AI211" s="51">
        <f t="shared" si="180"/>
        <v>-1.2322089274871368</v>
      </c>
      <c r="AJ211" s="51" t="str">
        <f t="shared" ref="AJ211:AJ274" si="212">IMSUM(COMPLEX(1,0),IMDIV(COMPLEX(0,2*PI()*O211),COMPLEX(wz1_dcm,0)))</f>
        <v>1+0.00946570868834627i</v>
      </c>
      <c r="AK211" s="51">
        <f t="shared" si="181"/>
        <v>1.0000447988170194</v>
      </c>
      <c r="AL211" s="51">
        <f t="shared" si="182"/>
        <v>9.4654259955102779E-3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5.15072100193908+9.94296427680408i</v>
      </c>
      <c r="BG211" s="66">
        <f t="shared" si="198"/>
        <v>20.982714415029726</v>
      </c>
      <c r="BH211" s="63">
        <f t="shared" si="199"/>
        <v>62.614637088986498</v>
      </c>
      <c r="BI211" s="60" t="e">
        <f t="shared" si="203"/>
        <v>#NUM!</v>
      </c>
      <c r="BJ211" s="66" t="e">
        <f t="shared" si="200"/>
        <v>#NUM!</v>
      </c>
      <c r="BK211" s="63" t="e">
        <f t="shared" si="204"/>
        <v>#NUM!</v>
      </c>
      <c r="BL211" s="51">
        <f t="shared" si="201"/>
        <v>20.982714415029726</v>
      </c>
      <c r="BM211" s="63">
        <f t="shared" si="202"/>
        <v>62.614637088986498</v>
      </c>
    </row>
    <row r="212" spans="14:65" x14ac:dyDescent="0.3">
      <c r="N212" s="11">
        <v>94</v>
      </c>
      <c r="O212" s="52">
        <f t="shared" si="205"/>
        <v>870.96358995608091</v>
      </c>
      <c r="P212" s="50" t="str">
        <f t="shared" si="206"/>
        <v>23.3035714285714</v>
      </c>
      <c r="Q212" s="18" t="str">
        <f t="shared" si="207"/>
        <v>1+2.07561286451909i</v>
      </c>
      <c r="R212" s="18">
        <f t="shared" ref="R212:R275" si="218">IMABS(Q212)</f>
        <v>2.3039463455899192</v>
      </c>
      <c r="S212" s="18">
        <f t="shared" ref="S212:S275" si="219">IMARGUMENT(Q212)</f>
        <v>1.121826279725481</v>
      </c>
      <c r="T212" s="18" t="str">
        <f t="shared" si="208"/>
        <v>1+0.00968619336775577i</v>
      </c>
      <c r="U212" s="18">
        <f t="shared" ref="U212:U275" si="220">IMABS(T212)</f>
        <v>1.0000469100707015</v>
      </c>
      <c r="V212" s="18">
        <f t="shared" ref="V212:V275" si="221">IMARGUMENT(T212)</f>
        <v>9.6858904576919529E-3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4.29695899088324-9.15784139299483i</v>
      </c>
      <c r="AD212" s="66">
        <f t="shared" ref="AD212:AD275" si="227">20*LOG(IMABS(AC212))</f>
        <v>20.100026157101727</v>
      </c>
      <c r="AE212" s="63">
        <f t="shared" ref="AE212:AE275" si="228">(180/PI())*IMARGUMENT(AC212)</f>
        <v>-64.863518559848515</v>
      </c>
      <c r="AF212" s="51" t="e">
        <f t="shared" ref="AF212:AF275" si="229">COMPLEX($B$68,0)</f>
        <v>#NUM!</v>
      </c>
      <c r="AG212" s="51" t="str">
        <f t="shared" si="211"/>
        <v>1-2.90585801032674i</v>
      </c>
      <c r="AH212" s="51">
        <f t="shared" ref="AH212:AH275" si="230">IMABS(AG212)</f>
        <v>3.0731109280629751</v>
      </c>
      <c r="AI212" s="51">
        <f t="shared" ref="AI212:AI275" si="231">IMARGUMENT(AG212)</f>
        <v>-1.2393582676413959</v>
      </c>
      <c r="AJ212" s="51" t="str">
        <f t="shared" si="212"/>
        <v>1+0.00968619336775577i</v>
      </c>
      <c r="AK212" s="51">
        <f t="shared" ref="AK212:AK275" si="232">IMABS(AJ212)</f>
        <v>1.0000469100707015</v>
      </c>
      <c r="AL212" s="51">
        <f t="shared" ref="AL212:AL275" si="233">IMARGUMENT(AJ212)</f>
        <v>9.6858904576919529E-3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4.97747617939142+9.63239403909196i</v>
      </c>
      <c r="BG212" s="66">
        <f t="shared" ref="BG212:BG275" si="249">20*LOG(IMABS(BF212))</f>
        <v>20.702532381944231</v>
      </c>
      <c r="BH212" s="63">
        <f t="shared" ref="BH212:BH275" si="250">(180/PI())*IMARGUMENT(BF212)</f>
        <v>62.67263802353559</v>
      </c>
      <c r="BI212" s="60" t="e">
        <f t="shared" si="203"/>
        <v>#NUM!</v>
      </c>
      <c r="BJ212" s="66" t="e">
        <f t="shared" ref="BJ212:BJ275" si="251">20*LOG(IMABS(BI212))</f>
        <v>#NUM!</v>
      </c>
      <c r="BK212" s="63" t="e">
        <f t="shared" si="204"/>
        <v>#NUM!</v>
      </c>
      <c r="BL212" s="51">
        <f t="shared" ref="BL212:BL275" si="252">IF($B$31=0,BJ212,BG212)</f>
        <v>20.702532381944231</v>
      </c>
      <c r="BM212" s="63">
        <f t="shared" ref="BM212:BM275" si="253">IF($B$31=0,BK212,BH212)</f>
        <v>62.67263802353559</v>
      </c>
    </row>
    <row r="213" spans="14:65" x14ac:dyDescent="0.3">
      <c r="N213" s="11">
        <v>95</v>
      </c>
      <c r="O213" s="52">
        <f t="shared" si="205"/>
        <v>891.25093813374656</v>
      </c>
      <c r="P213" s="50" t="str">
        <f t="shared" si="206"/>
        <v>23.3035714285714</v>
      </c>
      <c r="Q213" s="18" t="str">
        <f t="shared" si="207"/>
        <v>1+2.12396009895017i</v>
      </c>
      <c r="R213" s="18">
        <f t="shared" si="218"/>
        <v>2.3475958983463099</v>
      </c>
      <c r="S213" s="18">
        <f t="shared" si="219"/>
        <v>1.1307651311143863</v>
      </c>
      <c r="T213" s="18" t="str">
        <f t="shared" si="208"/>
        <v>1+0.00991181379510081i</v>
      </c>
      <c r="U213" s="18">
        <f t="shared" si="220"/>
        <v>1.0000491208199269</v>
      </c>
      <c r="V213" s="18">
        <f t="shared" si="221"/>
        <v>9.9114892219807141E-3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4.13442558779275-9.02594097549295i</v>
      </c>
      <c r="AD213" s="66">
        <f t="shared" si="227"/>
        <v>19.937054776474085</v>
      </c>
      <c r="AE213" s="63">
        <f t="shared" si="228"/>
        <v>-65.389362579445859</v>
      </c>
      <c r="AF213" s="51" t="e">
        <f t="shared" si="229"/>
        <v>#NUM!</v>
      </c>
      <c r="AG213" s="51" t="str">
        <f t="shared" si="211"/>
        <v>1-2.97354413853025i</v>
      </c>
      <c r="AH213" s="51">
        <f t="shared" si="230"/>
        <v>3.137190581362185</v>
      </c>
      <c r="AI213" s="51">
        <f t="shared" si="231"/>
        <v>-1.2463790272102904</v>
      </c>
      <c r="AJ213" s="51" t="str">
        <f t="shared" si="212"/>
        <v>1+0.00991181379510081i</v>
      </c>
      <c r="AK213" s="51">
        <f t="shared" si="232"/>
        <v>1.0000491208199269</v>
      </c>
      <c r="AL213" s="51">
        <f t="shared" si="233"/>
        <v>9.9114892219807141E-3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4.80912974192976+9.33308154633199i</v>
      </c>
      <c r="BG213" s="66">
        <f t="shared" si="249"/>
        <v>20.423161183664874</v>
      </c>
      <c r="BH213" s="63">
        <f t="shared" si="250"/>
        <v>62.73895373329659</v>
      </c>
      <c r="BI213" s="60" t="e">
        <f t="shared" si="203"/>
        <v>#NUM!</v>
      </c>
      <c r="BJ213" s="66" t="e">
        <f t="shared" si="251"/>
        <v>#NUM!</v>
      </c>
      <c r="BK213" s="63" t="e">
        <f t="shared" si="204"/>
        <v>#NUM!</v>
      </c>
      <c r="BL213" s="51">
        <f t="shared" si="252"/>
        <v>20.423161183664874</v>
      </c>
      <c r="BM213" s="63">
        <f t="shared" si="253"/>
        <v>62.73895373329659</v>
      </c>
    </row>
    <row r="214" spans="14:65" x14ac:dyDescent="0.3">
      <c r="N214" s="11">
        <v>96</v>
      </c>
      <c r="O214" s="52">
        <f t="shared" si="205"/>
        <v>912.01083935590987</v>
      </c>
      <c r="P214" s="50" t="str">
        <f t="shared" si="206"/>
        <v>23.3035714285714</v>
      </c>
      <c r="Q214" s="18" t="str">
        <f t="shared" si="207"/>
        <v>1+2.17343348513964i</v>
      </c>
      <c r="R214" s="18">
        <f t="shared" si="218"/>
        <v>2.3924491874073821</v>
      </c>
      <c r="S214" s="18">
        <f t="shared" si="219"/>
        <v>1.1395738183119031</v>
      </c>
      <c r="T214" s="18" t="str">
        <f t="shared" si="208"/>
        <v>1+0.0101426895973183i</v>
      </c>
      <c r="U214" s="18">
        <f t="shared" si="220"/>
        <v>1.0000514357533155</v>
      </c>
      <c r="V214" s="18">
        <f t="shared" si="221"/>
        <v>1.0142341811920245E-2</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3.97659108144178-8.89313990122147i</v>
      </c>
      <c r="AD214" s="66">
        <f t="shared" si="227"/>
        <v>19.772717677536015</v>
      </c>
      <c r="AE214" s="63">
        <f t="shared" si="228"/>
        <v>-65.908067405430032</v>
      </c>
      <c r="AF214" s="51" t="e">
        <f t="shared" si="229"/>
        <v>#NUM!</v>
      </c>
      <c r="AG214" s="51" t="str">
        <f t="shared" si="211"/>
        <v>1-3.04280687919551i</v>
      </c>
      <c r="AH214" s="51">
        <f t="shared" si="230"/>
        <v>3.2029164372614405</v>
      </c>
      <c r="AI214" s="51">
        <f t="shared" si="231"/>
        <v>-1.253272159300004</v>
      </c>
      <c r="AJ214" s="51" t="str">
        <f t="shared" si="212"/>
        <v>1+0.0101426895973183i</v>
      </c>
      <c r="AK214" s="51">
        <f t="shared" si="232"/>
        <v>1.0000514357533155</v>
      </c>
      <c r="AL214" s="51">
        <f t="shared" si="233"/>
        <v>1.0142341811920245E-2</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4.64564751023045+9.0446061673206i</v>
      </c>
      <c r="BG214" s="66">
        <f t="shared" si="249"/>
        <v>20.144656878125524</v>
      </c>
      <c r="BH214" s="63">
        <f t="shared" si="250"/>
        <v>62.813274637804845</v>
      </c>
      <c r="BI214" s="60" t="e">
        <f t="shared" si="203"/>
        <v>#NUM!</v>
      </c>
      <c r="BJ214" s="66" t="e">
        <f t="shared" si="251"/>
        <v>#NUM!</v>
      </c>
      <c r="BK214" s="63" t="e">
        <f t="shared" si="204"/>
        <v>#NUM!</v>
      </c>
      <c r="BL214" s="51">
        <f t="shared" si="252"/>
        <v>20.144656878125524</v>
      </c>
      <c r="BM214" s="63">
        <f t="shared" si="253"/>
        <v>62.813274637804845</v>
      </c>
    </row>
    <row r="215" spans="14:65" x14ac:dyDescent="0.3">
      <c r="N215" s="11">
        <v>97</v>
      </c>
      <c r="O215" s="52">
        <f t="shared" si="205"/>
        <v>933.25430079699106</v>
      </c>
      <c r="P215" s="50" t="str">
        <f t="shared" si="206"/>
        <v>23.3035714285714</v>
      </c>
      <c r="Q215" s="18" t="str">
        <f t="shared" si="207"/>
        <v>1+2.22405925453174i</v>
      </c>
      <c r="R215" s="18">
        <f t="shared" si="218"/>
        <v>2.4385322568439154</v>
      </c>
      <c r="S215" s="18">
        <f t="shared" si="219"/>
        <v>1.1482515428440327</v>
      </c>
      <c r="T215" s="18" t="str">
        <f t="shared" si="208"/>
        <v>1+0.0103789431878148i</v>
      </c>
      <c r="U215" s="18">
        <f t="shared" si="220"/>
        <v>1.0000538597804101</v>
      </c>
      <c r="V215" s="18">
        <f t="shared" si="221"/>
        <v>1.0378570530130667E-2</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3.82341474213955-8.75961507834733i</v>
      </c>
      <c r="AD215" s="66">
        <f t="shared" si="227"/>
        <v>19.60705492890736</v>
      </c>
      <c r="AE215" s="63">
        <f t="shared" si="228"/>
        <v>-66.419594703235418</v>
      </c>
      <c r="AF215" s="51" t="e">
        <f t="shared" si="229"/>
        <v>#NUM!</v>
      </c>
      <c r="AG215" s="51" t="str">
        <f t="shared" si="211"/>
        <v>1-3.11368295634444i</v>
      </c>
      <c r="AH215" s="51">
        <f t="shared" si="230"/>
        <v>3.2703243803374993</v>
      </c>
      <c r="AI215" s="51">
        <f t="shared" si="231"/>
        <v>-1.2600386976257478</v>
      </c>
      <c r="AJ215" s="51" t="str">
        <f t="shared" si="212"/>
        <v>1+0.0103789431878148i</v>
      </c>
      <c r="AK215" s="51">
        <f t="shared" si="232"/>
        <v>1.0000538597804101</v>
      </c>
      <c r="AL215" s="51">
        <f t="shared" si="233"/>
        <v>1.0378570530130667E-2</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4.48698722753629+8.76655884824812i</v>
      </c>
      <c r="BG215" s="66">
        <f t="shared" si="249"/>
        <v>19.86707294600868</v>
      </c>
      <c r="BH215" s="63">
        <f t="shared" si="250"/>
        <v>62.895274399616945</v>
      </c>
      <c r="BI215" s="60" t="e">
        <f t="shared" si="203"/>
        <v>#NUM!</v>
      </c>
      <c r="BJ215" s="66" t="e">
        <f t="shared" si="251"/>
        <v>#NUM!</v>
      </c>
      <c r="BK215" s="63" t="e">
        <f t="shared" si="204"/>
        <v>#NUM!</v>
      </c>
      <c r="BL215" s="51">
        <f t="shared" si="252"/>
        <v>19.86707294600868</v>
      </c>
      <c r="BM215" s="63">
        <f t="shared" si="253"/>
        <v>62.895274399616945</v>
      </c>
    </row>
    <row r="216" spans="14:65" x14ac:dyDescent="0.3">
      <c r="N216" s="11">
        <v>98</v>
      </c>
      <c r="O216" s="52">
        <f t="shared" si="205"/>
        <v>954.99258602143675</v>
      </c>
      <c r="P216" s="50" t="str">
        <f t="shared" si="206"/>
        <v>23.3035714285714</v>
      </c>
      <c r="Q216" s="18" t="str">
        <f t="shared" si="207"/>
        <v>1+2.27586424957949i</v>
      </c>
      <c r="R216" s="18">
        <f t="shared" si="218"/>
        <v>2.4858716947006769</v>
      </c>
      <c r="S216" s="18">
        <f t="shared" si="219"/>
        <v>1.1567976770583708</v>
      </c>
      <c r="T216" s="18" t="str">
        <f t="shared" si="208"/>
        <v>1+0.0106206998313709i</v>
      </c>
      <c r="U216" s="18">
        <f t="shared" si="220"/>
        <v>1.0000563980420845</v>
      </c>
      <c r="V216" s="18">
        <f t="shared" si="221"/>
        <v>1.0620300522684326E-2</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3.6748486248396-8.62553704515572i</v>
      </c>
      <c r="AD216" s="66">
        <f t="shared" si="227"/>
        <v>19.440106225188238</v>
      </c>
      <c r="AE216" s="63">
        <f t="shared" si="228"/>
        <v>-66.923916097786261</v>
      </c>
      <c r="AF216" s="51" t="e">
        <f t="shared" si="229"/>
        <v>#NUM!</v>
      </c>
      <c r="AG216" s="51" t="str">
        <f t="shared" si="211"/>
        <v>1-3.18620994941129i</v>
      </c>
      <c r="AH216" s="51">
        <f t="shared" si="230"/>
        <v>3.3394511288125619</v>
      </c>
      <c r="AI216" s="51">
        <f t="shared" si="231"/>
        <v>-1.2666797505355858</v>
      </c>
      <c r="AJ216" s="51" t="str">
        <f t="shared" si="212"/>
        <v>1+0.0106206998313709i</v>
      </c>
      <c r="AK216" s="51">
        <f t="shared" si="232"/>
        <v>1.0000563980420845</v>
      </c>
      <c r="AL216" s="51">
        <f t="shared" si="233"/>
        <v>1.0620300522684326E-2</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4.33309916160665+8.49854226408705i</v>
      </c>
      <c r="BG216" s="66">
        <f t="shared" si="249"/>
        <v>19.590460166201634</v>
      </c>
      <c r="BH216" s="63">
        <f t="shared" si="250"/>
        <v>62.984611079708927</v>
      </c>
      <c r="BI216" s="60" t="e">
        <f t="shared" si="203"/>
        <v>#NUM!</v>
      </c>
      <c r="BJ216" s="66" t="e">
        <f t="shared" si="251"/>
        <v>#NUM!</v>
      </c>
      <c r="BK216" s="63" t="e">
        <f t="shared" si="204"/>
        <v>#NUM!</v>
      </c>
      <c r="BL216" s="51">
        <f t="shared" si="252"/>
        <v>19.590460166201634</v>
      </c>
      <c r="BM216" s="63">
        <f t="shared" si="253"/>
        <v>62.984611079708927</v>
      </c>
    </row>
    <row r="217" spans="14:65" x14ac:dyDescent="0.3">
      <c r="N217" s="11">
        <v>99</v>
      </c>
      <c r="O217" s="52">
        <f t="shared" si="205"/>
        <v>977.23722095581138</v>
      </c>
      <c r="P217" s="50" t="str">
        <f t="shared" si="206"/>
        <v>23.3035714285714</v>
      </c>
      <c r="Q217" s="18" t="str">
        <f t="shared" si="207"/>
        <v>1+2.32887593797699i</v>
      </c>
      <c r="R217" s="18">
        <f t="shared" si="218"/>
        <v>2.5344946507120909</v>
      </c>
      <c r="S217" s="18">
        <f t="shared" si="219"/>
        <v>1.1652117577524219</v>
      </c>
      <c r="T217" s="18" t="str">
        <f t="shared" si="208"/>
        <v>1+0.0108680877105593i</v>
      </c>
      <c r="U217" s="18">
        <f t="shared" si="220"/>
        <v>1.0000590559214413</v>
      </c>
      <c r="V217" s="18">
        <f t="shared" si="221"/>
        <v>1.0867659844957493E-2</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3.53083814718613-8.49106975765537i</v>
      </c>
      <c r="AD217" s="66">
        <f t="shared" si="227"/>
        <v>19.271910828047176</v>
      </c>
      <c r="AE217" s="63">
        <f t="shared" si="228"/>
        <v>-67.421012812394792</v>
      </c>
      <c r="AF217" s="51" t="e">
        <f t="shared" si="229"/>
        <v>#NUM!</v>
      </c>
      <c r="AG217" s="51" t="str">
        <f t="shared" si="211"/>
        <v>1-3.26042631316779i</v>
      </c>
      <c r="AH217" s="51">
        <f t="shared" si="230"/>
        <v>3.4103342568723245</v>
      </c>
      <c r="AI217" s="51">
        <f t="shared" si="231"/>
        <v>-1.2731964952207264</v>
      </c>
      <c r="AJ217" s="51" t="str">
        <f t="shared" si="212"/>
        <v>1+0.0108680877105593i</v>
      </c>
      <c r="AK217" s="51">
        <f t="shared" si="232"/>
        <v>1.0000590559214413</v>
      </c>
      <c r="AL217" s="51">
        <f t="shared" si="233"/>
        <v>1.0867659844957493E-2</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4.18392670314226+8.24017092155924i</v>
      </c>
      <c r="BG217" s="66">
        <f t="shared" si="249"/>
        <v>19.314866505109435</v>
      </c>
      <c r="BH217" s="63">
        <f t="shared" si="250"/>
        <v>63.080928336929148</v>
      </c>
      <c r="BI217" s="60" t="e">
        <f t="shared" si="203"/>
        <v>#NUM!</v>
      </c>
      <c r="BJ217" s="66" t="e">
        <f t="shared" si="251"/>
        <v>#NUM!</v>
      </c>
      <c r="BK217" s="63" t="e">
        <f t="shared" si="204"/>
        <v>#NUM!</v>
      </c>
      <c r="BL217" s="51">
        <f t="shared" si="252"/>
        <v>19.314866505109435</v>
      </c>
      <c r="BM217" s="63">
        <f t="shared" si="253"/>
        <v>63.080928336929148</v>
      </c>
    </row>
    <row r="218" spans="14:65" x14ac:dyDescent="0.3">
      <c r="N218" s="11">
        <v>100</v>
      </c>
      <c r="O218" s="52">
        <f t="shared" si="205"/>
        <v>1000</v>
      </c>
      <c r="P218" s="50" t="str">
        <f t="shared" si="206"/>
        <v>23.3035714285714</v>
      </c>
      <c r="Q218" s="18" t="str">
        <f t="shared" si="207"/>
        <v>1+2.38312242722312i</v>
      </c>
      <c r="R218" s="18">
        <f t="shared" si="218"/>
        <v>2.5844288543378044</v>
      </c>
      <c r="S218" s="18">
        <f t="shared" si="219"/>
        <v>1.1734934796163539</v>
      </c>
      <c r="T218" s="18" t="str">
        <f t="shared" si="208"/>
        <v>1+0.0111212379937079i</v>
      </c>
      <c r="U218" s="18">
        <f t="shared" si="220"/>
        <v>1.0000618390552221</v>
      </c>
      <c r="V218" s="18">
        <f t="shared" si="221"/>
        <v>1.1120779528986623E-2</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3.39132266043252-8.35637042415681i</v>
      </c>
      <c r="AD218" s="66">
        <f t="shared" si="227"/>
        <v>19.10250751222932</v>
      </c>
      <c r="AE218" s="63">
        <f t="shared" si="228"/>
        <v>-67.91087529711713</v>
      </c>
      <c r="AF218" s="51" t="e">
        <f t="shared" si="229"/>
        <v>#NUM!</v>
      </c>
      <c r="AG218" s="51" t="str">
        <f t="shared" si="211"/>
        <v>1-3.33637139811237i</v>
      </c>
      <c r="AH218" s="51">
        <f t="shared" si="230"/>
        <v>3.483012217340371</v>
      </c>
      <c r="AI218" s="51">
        <f t="shared" si="231"/>
        <v>-1.2795901721210656</v>
      </c>
      <c r="AJ218" s="51" t="str">
        <f t="shared" si="212"/>
        <v>1+0.0111212379937079i</v>
      </c>
      <c r="AK218" s="51">
        <f t="shared" si="232"/>
        <v>1.0000618390552221</v>
      </c>
      <c r="AL218" s="51">
        <f t="shared" si="233"/>
        <v>1.1120779528986623E-2</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4.03940695682132+7.99107121612402i</v>
      </c>
      <c r="BG218" s="66">
        <f t="shared" si="249"/>
        <v>19.040337020213233</v>
      </c>
      <c r="BH218" s="63">
        <f t="shared" si="250"/>
        <v>63.183856663685624</v>
      </c>
      <c r="BI218" s="60" t="e">
        <f t="shared" si="203"/>
        <v>#NUM!</v>
      </c>
      <c r="BJ218" s="66" t="e">
        <f t="shared" si="251"/>
        <v>#NUM!</v>
      </c>
      <c r="BK218" s="63" t="e">
        <f t="shared" si="204"/>
        <v>#NUM!</v>
      </c>
      <c r="BL218" s="51">
        <f t="shared" si="252"/>
        <v>19.040337020213233</v>
      </c>
      <c r="BM218" s="63">
        <f t="shared" si="253"/>
        <v>63.183856663685624</v>
      </c>
    </row>
    <row r="219" spans="14:65" x14ac:dyDescent="0.3">
      <c r="N219" s="11">
        <v>1</v>
      </c>
      <c r="O219" s="52">
        <f>10^(3+(N219/100))</f>
        <v>1023.2929922807547</v>
      </c>
      <c r="P219" s="50" t="str">
        <f t="shared" si="206"/>
        <v>23.3035714285714</v>
      </c>
      <c r="Q219" s="18" t="str">
        <f t="shared" si="207"/>
        <v>1+2.43863247952452i</v>
      </c>
      <c r="R219" s="18">
        <f t="shared" si="218"/>
        <v>2.6357026331116922</v>
      </c>
      <c r="S219" s="18">
        <f t="shared" si="219"/>
        <v>1.1816426885351328</v>
      </c>
      <c r="T219" s="18" t="str">
        <f t="shared" si="208"/>
        <v>1+0.0113802849044477i</v>
      </c>
      <c r="U219" s="18">
        <f t="shared" si="220"/>
        <v>1.0000647533457552</v>
      </c>
      <c r="V219" s="18">
        <f t="shared" si="221"/>
        <v>1.1379793652365994E-2</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3.2562360099035-8.22158938419764i</v>
      </c>
      <c r="AD219" s="66">
        <f t="shared" si="227"/>
        <v>18.931934516409932</v>
      </c>
      <c r="AE219" s="63">
        <f t="shared" si="228"/>
        <v>-68.393502849142664</v>
      </c>
      <c r="AF219" s="51" t="e">
        <f t="shared" si="229"/>
        <v>#NUM!</v>
      </c>
      <c r="AG219" s="51" t="str">
        <f t="shared" si="211"/>
        <v>1-3.41408547133433i</v>
      </c>
      <c r="AH219" s="51">
        <f t="shared" si="230"/>
        <v>3.5575243647199599</v>
      </c>
      <c r="AI219" s="51">
        <f t="shared" si="231"/>
        <v>-1.2858620795328792</v>
      </c>
      <c r="AJ219" s="51" t="str">
        <f t="shared" si="212"/>
        <v>1+0.0113802849044477i</v>
      </c>
      <c r="AK219" s="51">
        <f t="shared" si="232"/>
        <v>1.0000647533457552</v>
      </c>
      <c r="AL219" s="51">
        <f t="shared" si="233"/>
        <v>1.1379793652365994E-2</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3.89947132149982+7.75088144564647i</v>
      </c>
      <c r="BG219" s="66">
        <f t="shared" si="249"/>
        <v>18.766913778152905</v>
      </c>
      <c r="BH219" s="63">
        <f t="shared" si="250"/>
        <v>63.293014649885741</v>
      </c>
      <c r="BI219" s="60" t="e">
        <f t="shared" si="203"/>
        <v>#NUM!</v>
      </c>
      <c r="BJ219" s="66" t="e">
        <f t="shared" si="251"/>
        <v>#NUM!</v>
      </c>
      <c r="BK219" s="63" t="e">
        <f t="shared" si="204"/>
        <v>#NUM!</v>
      </c>
      <c r="BL219" s="51">
        <f t="shared" si="252"/>
        <v>18.766913778152905</v>
      </c>
      <c r="BM219" s="63">
        <f t="shared" si="253"/>
        <v>63.293014649885741</v>
      </c>
    </row>
    <row r="220" spans="14:65" x14ac:dyDescent="0.3">
      <c r="N220" s="11">
        <v>2</v>
      </c>
      <c r="O220" s="52">
        <f t="shared" ref="O220:O283" si="254">10^(3+(N220/100))</f>
        <v>1047.1285480509</v>
      </c>
      <c r="P220" s="50" t="str">
        <f t="shared" si="206"/>
        <v>23.3035714285714</v>
      </c>
      <c r="Q220" s="18" t="str">
        <f t="shared" si="207"/>
        <v>1+2.49543552704568i</v>
      </c>
      <c r="R220" s="18">
        <f t="shared" si="218"/>
        <v>2.688344931299135</v>
      </c>
      <c r="S220" s="18">
        <f t="shared" si="219"/>
        <v>1.1896593747922672</v>
      </c>
      <c r="T220" s="18" t="str">
        <f t="shared" si="208"/>
        <v>1+0.0116453657928798i</v>
      </c>
      <c r="U220" s="18">
        <f t="shared" si="220"/>
        <v>1.0000678049734677</v>
      </c>
      <c r="V220" s="18">
        <f t="shared" si="221"/>
        <v>1.1644839408718027E-2</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3.12550708207183-8.08687002903043i</v>
      </c>
      <c r="AD220" s="66">
        <f t="shared" si="227"/>
        <v>18.760229498791144</v>
      </c>
      <c r="AE220" s="63">
        <f t="shared" si="228"/>
        <v>-68.868903227640104</v>
      </c>
      <c r="AF220" s="51" t="e">
        <f t="shared" si="229"/>
        <v>#NUM!</v>
      </c>
      <c r="AG220" s="51" t="str">
        <f t="shared" si="211"/>
        <v>1-3.49360973786396i</v>
      </c>
      <c r="AH220" s="51">
        <f t="shared" si="230"/>
        <v>3.6339109786148986</v>
      </c>
      <c r="AI220" s="51">
        <f t="shared" si="231"/>
        <v>-1.2920135684237881</v>
      </c>
      <c r="AJ220" s="51" t="str">
        <f t="shared" si="212"/>
        <v>1+0.0116453657928798i</v>
      </c>
      <c r="AK220" s="51">
        <f t="shared" si="232"/>
        <v>1.0000678049734677</v>
      </c>
      <c r="AL220" s="51">
        <f t="shared" si="233"/>
        <v>1.1644839408718027E-2</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3.76404605654304+7.51925178356898i</v>
      </c>
      <c r="BG220" s="66">
        <f t="shared" si="249"/>
        <v>18.494635787501007</v>
      </c>
      <c r="BH220" s="63">
        <f t="shared" si="250"/>
        <v>63.408010267053285</v>
      </c>
      <c r="BI220" s="60" t="e">
        <f t="shared" si="203"/>
        <v>#NUM!</v>
      </c>
      <c r="BJ220" s="66" t="e">
        <f t="shared" si="251"/>
        <v>#NUM!</v>
      </c>
      <c r="BK220" s="63" t="e">
        <f t="shared" si="204"/>
        <v>#NUM!</v>
      </c>
      <c r="BL220" s="51">
        <f t="shared" si="252"/>
        <v>18.494635787501007</v>
      </c>
      <c r="BM220" s="63">
        <f t="shared" si="253"/>
        <v>63.408010267053285</v>
      </c>
    </row>
    <row r="221" spans="14:65" x14ac:dyDescent="0.3">
      <c r="N221" s="11">
        <v>3</v>
      </c>
      <c r="O221" s="52">
        <f t="shared" si="254"/>
        <v>1071.5193052376069</v>
      </c>
      <c r="P221" s="50" t="str">
        <f t="shared" si="206"/>
        <v>23.3035714285714</v>
      </c>
      <c r="Q221" s="18" t="str">
        <f t="shared" si="207"/>
        <v>1+2.55356168751427i</v>
      </c>
      <c r="R221" s="18">
        <f t="shared" si="218"/>
        <v>2.7423853288589348</v>
      </c>
      <c r="S221" s="18">
        <f t="shared" si="219"/>
        <v>1.1975436662146235</v>
      </c>
      <c r="T221" s="18" t="str">
        <f t="shared" si="208"/>
        <v>1+0.0119166212083999i</v>
      </c>
      <c r="U221" s="18">
        <f t="shared" si="220"/>
        <v>1.0000710004099831</v>
      </c>
      <c r="V221" s="18">
        <f t="shared" si="221"/>
        <v>1.1916057179771277E-2</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2.99906033571254-7.95234876077997i</v>
      </c>
      <c r="AD221" s="66">
        <f t="shared" si="227"/>
        <v>18.587429497317466</v>
      </c>
      <c r="AE221" s="63">
        <f t="shared" si="228"/>
        <v>-69.337092265322198</v>
      </c>
      <c r="AF221" s="51" t="e">
        <f t="shared" si="229"/>
        <v>#NUM!</v>
      </c>
      <c r="AG221" s="51" t="str">
        <f t="shared" si="211"/>
        <v>1-3.57498636251999i</v>
      </c>
      <c r="AH221" s="51">
        <f t="shared" si="230"/>
        <v>3.7122132875420712</v>
      </c>
      <c r="AI221" s="51">
        <f t="shared" si="231"/>
        <v>-1.2980460374585194</v>
      </c>
      <c r="AJ221" s="51" t="str">
        <f t="shared" si="212"/>
        <v>1+0.0119166212083999i</v>
      </c>
      <c r="AK221" s="51">
        <f t="shared" si="232"/>
        <v>1.0000710004099831</v>
      </c>
      <c r="AL221" s="51">
        <f t="shared" si="233"/>
        <v>1.1916057179771277E-2</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3.63305283166046+7.29584421452571i</v>
      </c>
      <c r="BG221" s="66">
        <f t="shared" si="249"/>
        <v>18.223538946284556</v>
      </c>
      <c r="BH221" s="63">
        <f t="shared" si="250"/>
        <v>63.528442164539065</v>
      </c>
      <c r="BI221" s="60" t="e">
        <f t="shared" si="203"/>
        <v>#NUM!</v>
      </c>
      <c r="BJ221" s="66" t="e">
        <f t="shared" si="251"/>
        <v>#NUM!</v>
      </c>
      <c r="BK221" s="63" t="e">
        <f t="shared" si="204"/>
        <v>#NUM!</v>
      </c>
      <c r="BL221" s="51">
        <f t="shared" si="252"/>
        <v>18.223538946284556</v>
      </c>
      <c r="BM221" s="63">
        <f t="shared" si="253"/>
        <v>63.528442164539065</v>
      </c>
    </row>
    <row r="222" spans="14:65" x14ac:dyDescent="0.3">
      <c r="N222" s="11">
        <v>4</v>
      </c>
      <c r="O222" s="52">
        <f t="shared" si="254"/>
        <v>1096.4781961431863</v>
      </c>
      <c r="P222" s="50" t="str">
        <f t="shared" si="206"/>
        <v>23.3035714285714</v>
      </c>
      <c r="Q222" s="18" t="str">
        <f t="shared" si="207"/>
        <v>1+2.61304178018997i</v>
      </c>
      <c r="R222" s="18">
        <f t="shared" si="218"/>
        <v>2.7978540607076643</v>
      </c>
      <c r="S222" s="18">
        <f t="shared" si="219"/>
        <v>1.205295821294877</v>
      </c>
      <c r="T222" s="18" t="str">
        <f t="shared" si="208"/>
        <v>1+0.0121941949742199i</v>
      </c>
      <c r="U222" s="18">
        <f t="shared" si="220"/>
        <v>1.0000743464318387</v>
      </c>
      <c r="V222" s="18">
        <f t="shared" si="221"/>
        <v>1.2193590609082173E-2</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2.876816314977-7.81815498731096i</v>
      </c>
      <c r="AD222" s="66">
        <f t="shared" si="227"/>
        <v>18.413570894365474</v>
      </c>
      <c r="AE222" s="63">
        <f t="shared" si="228"/>
        <v>-69.79809347882599</v>
      </c>
      <c r="AF222" s="51" t="e">
        <f t="shared" si="229"/>
        <v>#NUM!</v>
      </c>
      <c r="AG222" s="51" t="str">
        <f t="shared" si="211"/>
        <v>1-3.65825849226597i</v>
      </c>
      <c r="AH222" s="51">
        <f t="shared" si="230"/>
        <v>3.7924734931487776</v>
      </c>
      <c r="AI222" s="51">
        <f t="shared" si="231"/>
        <v>-1.3039609282375138</v>
      </c>
      <c r="AJ222" s="51" t="str">
        <f t="shared" si="212"/>
        <v>1+0.0121941949742199i</v>
      </c>
      <c r="AK222" s="51">
        <f t="shared" si="232"/>
        <v>1.0000743464318387</v>
      </c>
      <c r="AL222" s="51">
        <f t="shared" si="233"/>
        <v>1.2193590609082173E-2</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3.5064092580095+7.08033243540791i</v>
      </c>
      <c r="BG222" s="66">
        <f t="shared" si="249"/>
        <v>17.953656004198994</v>
      </c>
      <c r="BH222" s="63">
        <f t="shared" si="250"/>
        <v>63.653900969794392</v>
      </c>
      <c r="BI222" s="60" t="e">
        <f t="shared" si="203"/>
        <v>#NUM!</v>
      </c>
      <c r="BJ222" s="66" t="e">
        <f t="shared" si="251"/>
        <v>#NUM!</v>
      </c>
      <c r="BK222" s="63" t="e">
        <f t="shared" si="204"/>
        <v>#NUM!</v>
      </c>
      <c r="BL222" s="51">
        <f t="shared" si="252"/>
        <v>17.953656004198994</v>
      </c>
      <c r="BM222" s="63">
        <f t="shared" si="253"/>
        <v>63.653900969794392</v>
      </c>
    </row>
    <row r="223" spans="14:65" x14ac:dyDescent="0.3">
      <c r="N223" s="11">
        <v>5</v>
      </c>
      <c r="O223" s="52">
        <f t="shared" si="254"/>
        <v>1122.0184543019636</v>
      </c>
      <c r="P223" s="50" t="str">
        <f t="shared" si="206"/>
        <v>23.3035714285714</v>
      </c>
      <c r="Q223" s="18" t="str">
        <f t="shared" si="207"/>
        <v>1+2.67390734220522i</v>
      </c>
      <c r="R223" s="18">
        <f t="shared" si="218"/>
        <v>2.8547820362856045</v>
      </c>
      <c r="S223" s="18">
        <f t="shared" si="219"/>
        <v>1.2129162223252399</v>
      </c>
      <c r="T223" s="18" t="str">
        <f t="shared" si="208"/>
        <v>1+0.0124782342636244i</v>
      </c>
      <c r="U223" s="18">
        <f t="shared" si="220"/>
        <v>1.0000778501348473</v>
      </c>
      <c r="V223" s="18">
        <f t="shared" si="221"/>
        <v>1.2477586677434522E-2</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2.75869214259136-7.68441114982009i</v>
      </c>
      <c r="AD223" s="66">
        <f t="shared" si="227"/>
        <v>18.238689385744777</v>
      </c>
      <c r="AE223" s="63">
        <f t="shared" si="228"/>
        <v>-70.251937679838989</v>
      </c>
      <c r="AF223" s="51" t="e">
        <f t="shared" si="229"/>
        <v>#NUM!</v>
      </c>
      <c r="AG223" s="51" t="str">
        <f t="shared" si="211"/>
        <v>1-3.74347027908732i</v>
      </c>
      <c r="AH223" s="51">
        <f t="shared" si="230"/>
        <v>3.8747347948485582</v>
      </c>
      <c r="AI223" s="51">
        <f t="shared" si="231"/>
        <v>-1.3097597207490992</v>
      </c>
      <c r="AJ223" s="51" t="str">
        <f t="shared" si="212"/>
        <v>1+0.0124782342636244i</v>
      </c>
      <c r="AK223" s="51">
        <f t="shared" si="232"/>
        <v>1.0000778501348473</v>
      </c>
      <c r="AL223" s="51">
        <f t="shared" si="233"/>
        <v>1.2477586677434522E-2</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3.38402939870827+6.87240172491589i</v>
      </c>
      <c r="BG223" s="66">
        <f t="shared" si="249"/>
        <v>17.685016539348538</v>
      </c>
      <c r="BH223" s="63">
        <f t="shared" si="250"/>
        <v>63.78397058481449</v>
      </c>
      <c r="BI223" s="60" t="e">
        <f t="shared" si="203"/>
        <v>#NUM!</v>
      </c>
      <c r="BJ223" s="66" t="e">
        <f t="shared" si="251"/>
        <v>#NUM!</v>
      </c>
      <c r="BK223" s="63" t="e">
        <f t="shared" si="204"/>
        <v>#NUM!</v>
      </c>
      <c r="BL223" s="51">
        <f t="shared" si="252"/>
        <v>17.685016539348538</v>
      </c>
      <c r="BM223" s="63">
        <f t="shared" si="253"/>
        <v>63.78397058481449</v>
      </c>
    </row>
    <row r="224" spans="14:65" x14ac:dyDescent="0.3">
      <c r="N224" s="11">
        <v>6</v>
      </c>
      <c r="O224" s="52">
        <f t="shared" si="254"/>
        <v>1148.1536214968839</v>
      </c>
      <c r="P224" s="50" t="str">
        <f t="shared" si="206"/>
        <v>23.3035714285714</v>
      </c>
      <c r="Q224" s="18" t="str">
        <f t="shared" si="207"/>
        <v>1+2.73619064528666i</v>
      </c>
      <c r="R224" s="18">
        <f t="shared" si="218"/>
        <v>2.9132008594249434</v>
      </c>
      <c r="S224" s="18">
        <f t="shared" si="219"/>
        <v>1.2204053685731879</v>
      </c>
      <c r="T224" s="18" t="str">
        <f t="shared" si="208"/>
        <v>1+0.0127688896780044i</v>
      </c>
      <c r="U224" s="18">
        <f t="shared" si="220"/>
        <v>1.000081518949135</v>
      </c>
      <c r="V224" s="18">
        <f t="shared" si="221"/>
        <v>1.2768195779954928E-2</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2.6446019917288-7.55123278017892i</v>
      </c>
      <c r="AD224" s="66">
        <f t="shared" si="227"/>
        <v>18.062819953836676</v>
      </c>
      <c r="AE224" s="63">
        <f t="shared" si="228"/>
        <v>-70.698662588731651</v>
      </c>
      <c r="AF224" s="51" t="e">
        <f t="shared" si="229"/>
        <v>#NUM!</v>
      </c>
      <c r="AG224" s="51" t="str">
        <f t="shared" si="211"/>
        <v>1-3.83066690340134i</v>
      </c>
      <c r="AH224" s="51">
        <f t="shared" si="230"/>
        <v>3.959041414890025</v>
      </c>
      <c r="AI224" s="51">
        <f t="shared" si="231"/>
        <v>-1.3154439290347859</v>
      </c>
      <c r="AJ224" s="51" t="str">
        <f t="shared" si="212"/>
        <v>1+0.0127688896780044i</v>
      </c>
      <c r="AK224" s="51">
        <f t="shared" si="232"/>
        <v>1.000081518949135</v>
      </c>
      <c r="AL224" s="51">
        <f t="shared" si="233"/>
        <v>1.2768195779954928E-2</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3.26582425725527+6.67174878462521i</v>
      </c>
      <c r="BG224" s="66">
        <f t="shared" si="249"/>
        <v>17.417646949241593</v>
      </c>
      <c r="BH224" s="63">
        <f t="shared" si="250"/>
        <v>63.918229471053188</v>
      </c>
      <c r="BI224" s="60" t="e">
        <f t="shared" si="203"/>
        <v>#NUM!</v>
      </c>
      <c r="BJ224" s="66" t="e">
        <f t="shared" si="251"/>
        <v>#NUM!</v>
      </c>
      <c r="BK224" s="63" t="e">
        <f t="shared" si="204"/>
        <v>#NUM!</v>
      </c>
      <c r="BL224" s="51">
        <f t="shared" si="252"/>
        <v>17.417646949241593</v>
      </c>
      <c r="BM224" s="63">
        <f t="shared" si="253"/>
        <v>63.918229471053188</v>
      </c>
    </row>
    <row r="225" spans="14:65" x14ac:dyDescent="0.3">
      <c r="N225" s="11">
        <v>7</v>
      </c>
      <c r="O225" s="52">
        <f t="shared" si="254"/>
        <v>1174.8975549395295</v>
      </c>
      <c r="P225" s="50" t="str">
        <f t="shared" si="206"/>
        <v>23.3035714285714</v>
      </c>
      <c r="Q225" s="18" t="str">
        <f t="shared" si="207"/>
        <v>1+2.79992471286599i</v>
      </c>
      <c r="R225" s="18">
        <f t="shared" si="218"/>
        <v>2.973142848522031</v>
      </c>
      <c r="S225" s="18">
        <f t="shared" si="219"/>
        <v>1.2277638695269768</v>
      </c>
      <c r="T225" s="18" t="str">
        <f t="shared" si="208"/>
        <v>1+0.013066315326708i</v>
      </c>
      <c r="U225" s="18">
        <f t="shared" si="220"/>
        <v>1.0000853606548878</v>
      </c>
      <c r="V225" s="18">
        <f t="shared" si="221"/>
        <v>1.3065571804979614E-2</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2.53445753542517-7.41872858509133i</v>
      </c>
      <c r="AD225" s="66">
        <f t="shared" si="227"/>
        <v>17.885996844681806</v>
      </c>
      <c r="AE225" s="63">
        <f t="shared" si="228"/>
        <v>-71.138312452293704</v>
      </c>
      <c r="AF225" s="51" t="e">
        <f t="shared" si="229"/>
        <v>#NUM!</v>
      </c>
      <c r="AG225" s="51" t="str">
        <f t="shared" si="211"/>
        <v>1-3.9198945980124i</v>
      </c>
      <c r="AH225" s="51">
        <f t="shared" si="230"/>
        <v>4.0454386238734106</v>
      </c>
      <c r="AI225" s="51">
        <f t="shared" si="231"/>
        <v>-1.3210150970661538</v>
      </c>
      <c r="AJ225" s="51" t="str">
        <f t="shared" si="212"/>
        <v>1+0.013066315326708i</v>
      </c>
      <c r="AK225" s="51">
        <f t="shared" si="232"/>
        <v>1.0000853606548878</v>
      </c>
      <c r="AL225" s="51">
        <f t="shared" si="233"/>
        <v>1.3065571804979614E-2</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3.15170224268486+6.47808155455366i</v>
      </c>
      <c r="BG225" s="66">
        <f t="shared" si="249"/>
        <v>17.151570455666707</v>
      </c>
      <c r="BH225" s="63">
        <f t="shared" si="250"/>
        <v>64.05625191539977</v>
      </c>
      <c r="BI225" s="60" t="e">
        <f t="shared" si="203"/>
        <v>#NUM!</v>
      </c>
      <c r="BJ225" s="66" t="e">
        <f t="shared" si="251"/>
        <v>#NUM!</v>
      </c>
      <c r="BK225" s="63" t="e">
        <f t="shared" si="204"/>
        <v>#NUM!</v>
      </c>
      <c r="BL225" s="51">
        <f t="shared" si="252"/>
        <v>17.151570455666707</v>
      </c>
      <c r="BM225" s="63">
        <f t="shared" si="253"/>
        <v>64.05625191539977</v>
      </c>
    </row>
    <row r="226" spans="14:65" x14ac:dyDescent="0.3">
      <c r="N226" s="11">
        <v>8</v>
      </c>
      <c r="O226" s="52">
        <f t="shared" si="254"/>
        <v>1202.2644346174138</v>
      </c>
      <c r="P226" s="50" t="str">
        <f t="shared" si="206"/>
        <v>23.3035714285714</v>
      </c>
      <c r="Q226" s="18" t="str">
        <f t="shared" si="207"/>
        <v>1+2.86514333758948i</v>
      </c>
      <c r="R226" s="18">
        <f t="shared" si="218"/>
        <v>3.0346410570170215</v>
      </c>
      <c r="S226" s="18">
        <f t="shared" si="219"/>
        <v>1.2349924382359136</v>
      </c>
      <c r="T226" s="18" t="str">
        <f t="shared" si="208"/>
        <v>1+0.0133706689087509i</v>
      </c>
      <c r="U226" s="18">
        <f t="shared" si="220"/>
        <v>1.0000893833988378</v>
      </c>
      <c r="V226" s="18">
        <f t="shared" si="221"/>
        <v>1.3369872214710735E-2</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2.42816837270816-7.28700055420037i</v>
      </c>
      <c r="AD226" s="66">
        <f t="shared" si="227"/>
        <v>17.708253548823912</v>
      </c>
      <c r="AE226" s="63">
        <f t="shared" si="228"/>
        <v>-71.570937667002596</v>
      </c>
      <c r="AF226" s="51" t="e">
        <f t="shared" si="229"/>
        <v>#NUM!</v>
      </c>
      <c r="AG226" s="51" t="str">
        <f t="shared" si="211"/>
        <v>1-4.01120067262528i</v>
      </c>
      <c r="AH226" s="51">
        <f t="shared" si="230"/>
        <v>4.1339727667305084</v>
      </c>
      <c r="AI226" s="51">
        <f t="shared" si="231"/>
        <v>-1.3264747948309112</v>
      </c>
      <c r="AJ226" s="51" t="str">
        <f t="shared" si="212"/>
        <v>1+0.0133706689087509i</v>
      </c>
      <c r="AK226" s="51">
        <f t="shared" si="232"/>
        <v>1.0000893833988378</v>
      </c>
      <c r="AL226" s="51">
        <f t="shared" si="233"/>
        <v>1.3369872214710735E-2</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3.04156961059878+6.29111900614596i</v>
      </c>
      <c r="BG226" s="66">
        <f t="shared" si="249"/>
        <v>16.886807122977633</v>
      </c>
      <c r="BH226" s="63">
        <f t="shared" si="250"/>
        <v>64.197609270131508</v>
      </c>
      <c r="BI226" s="60" t="e">
        <f t="shared" si="203"/>
        <v>#NUM!</v>
      </c>
      <c r="BJ226" s="66" t="e">
        <f t="shared" si="251"/>
        <v>#NUM!</v>
      </c>
      <c r="BK226" s="63" t="e">
        <f t="shared" si="204"/>
        <v>#NUM!</v>
      </c>
      <c r="BL226" s="51">
        <f t="shared" si="252"/>
        <v>16.886807122977633</v>
      </c>
      <c r="BM226" s="63">
        <f t="shared" si="253"/>
        <v>64.197609270131508</v>
      </c>
    </row>
    <row r="227" spans="14:65" x14ac:dyDescent="0.3">
      <c r="N227" s="11">
        <v>9</v>
      </c>
      <c r="O227" s="52">
        <f t="shared" si="254"/>
        <v>1230.2687708123824</v>
      </c>
      <c r="P227" s="50" t="str">
        <f t="shared" si="206"/>
        <v>23.3035714285714</v>
      </c>
      <c r="Q227" s="18" t="str">
        <f t="shared" si="207"/>
        <v>1+2.9318810992352i</v>
      </c>
      <c r="R227" s="18">
        <f t="shared" si="218"/>
        <v>3.0977292941851142</v>
      </c>
      <c r="S227" s="18">
        <f t="shared" si="219"/>
        <v>1.242091884767536</v>
      </c>
      <c r="T227" s="18" t="str">
        <f t="shared" si="208"/>
        <v>1+0.013682111796431i</v>
      </c>
      <c r="U227" s="18">
        <f t="shared" si="220"/>
        <v>1.0000935957115265</v>
      </c>
      <c r="V227" s="18">
        <f t="shared" si="221"/>
        <v>1.368125812770145E-2</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2.32564243088264-7.15614408936732i</v>
      </c>
      <c r="AD227" s="66">
        <f t="shared" si="227"/>
        <v>17.529622785708064</v>
      </c>
      <c r="AE227" s="63">
        <f t="shared" si="228"/>
        <v>-71.996594409099217</v>
      </c>
      <c r="AF227" s="51" t="e">
        <f t="shared" si="229"/>
        <v>#NUM!</v>
      </c>
      <c r="AG227" s="51" t="str">
        <f t="shared" si="211"/>
        <v>1-4.10463353892929i</v>
      </c>
      <c r="AH227" s="51">
        <f t="shared" si="230"/>
        <v>4.2246912891835295</v>
      </c>
      <c r="AI227" s="51">
        <f t="shared" si="231"/>
        <v>-1.3318246146248416</v>
      </c>
      <c r="AJ227" s="51" t="str">
        <f t="shared" si="212"/>
        <v>1+0.013682111796431i</v>
      </c>
      <c r="AK227" s="51">
        <f t="shared" si="232"/>
        <v>1.0000935957115265</v>
      </c>
      <c r="AL227" s="51">
        <f t="shared" si="233"/>
        <v>1.368125812770145E-2</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2.93533087949622+6.110590915502i</v>
      </c>
      <c r="BG227" s="66">
        <f t="shared" si="249"/>
        <v>16.623373889226258</v>
      </c>
      <c r="BH227" s="63">
        <f t="shared" si="250"/>
        <v>64.341871160171465</v>
      </c>
      <c r="BI227" s="60" t="e">
        <f t="shared" si="203"/>
        <v>#NUM!</v>
      </c>
      <c r="BJ227" s="66" t="e">
        <f t="shared" si="251"/>
        <v>#NUM!</v>
      </c>
      <c r="BK227" s="63" t="e">
        <f t="shared" si="204"/>
        <v>#NUM!</v>
      </c>
      <c r="BL227" s="51">
        <f t="shared" si="252"/>
        <v>16.623373889226258</v>
      </c>
      <c r="BM227" s="63">
        <f t="shared" si="253"/>
        <v>64.341871160171465</v>
      </c>
    </row>
    <row r="228" spans="14:65" x14ac:dyDescent="0.3">
      <c r="N228" s="11">
        <v>10</v>
      </c>
      <c r="O228" s="52">
        <f t="shared" si="254"/>
        <v>1258.925411794168</v>
      </c>
      <c r="P228" s="50" t="str">
        <f t="shared" si="206"/>
        <v>23.3035714285714</v>
      </c>
      <c r="Q228" s="18" t="str">
        <f t="shared" si="207"/>
        <v>1+3.00017338304778i</v>
      </c>
      <c r="R228" s="18">
        <f t="shared" si="218"/>
        <v>3.1624421462452657</v>
      </c>
      <c r="S228" s="18">
        <f t="shared" si="219"/>
        <v>1.2490631098012273</v>
      </c>
      <c r="T228" s="18" t="str">
        <f t="shared" si="208"/>
        <v>1+0.0140008091208896i</v>
      </c>
      <c r="U228" s="18">
        <f t="shared" si="220"/>
        <v>1.0000980065253802</v>
      </c>
      <c r="V228" s="18">
        <f t="shared" si="221"/>
        <v>1.3999894403206897E-2</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2.22678634366442-7.02624815245526i</v>
      </c>
      <c r="AD228" s="66">
        <f t="shared" si="227"/>
        <v>17.350136491428529</v>
      </c>
      <c r="AE228" s="63">
        <f t="shared" si="228"/>
        <v>-72.415344272589834</v>
      </c>
      <c r="AF228" s="51" t="e">
        <f t="shared" si="229"/>
        <v>#NUM!</v>
      </c>
      <c r="AG228" s="51" t="str">
        <f t="shared" si="211"/>
        <v>1-4.2002427362669i</v>
      </c>
      <c r="AH228" s="51">
        <f t="shared" si="230"/>
        <v>4.3176427646996061</v>
      </c>
      <c r="AI228" s="51">
        <f t="shared" si="231"/>
        <v>-1.3370661675457078</v>
      </c>
      <c r="AJ228" s="51" t="str">
        <f t="shared" si="212"/>
        <v>1+0.0140008091208896i</v>
      </c>
      <c r="AK228" s="51">
        <f t="shared" si="232"/>
        <v>1.0000980065253802</v>
      </c>
      <c r="AL228" s="51">
        <f t="shared" si="233"/>
        <v>1.3999894403206897E-2</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2.83288922208377+5.936237619561i</v>
      </c>
      <c r="BG228" s="66">
        <f t="shared" si="249"/>
        <v>16.361284609498004</v>
      </c>
      <c r="BH228" s="63">
        <f t="shared" si="250"/>
        <v>64.488606651426309</v>
      </c>
      <c r="BI228" s="60" t="e">
        <f t="shared" si="203"/>
        <v>#NUM!</v>
      </c>
      <c r="BJ228" s="66" t="e">
        <f t="shared" si="251"/>
        <v>#NUM!</v>
      </c>
      <c r="BK228" s="63" t="e">
        <f t="shared" si="204"/>
        <v>#NUM!</v>
      </c>
      <c r="BL228" s="51">
        <f t="shared" si="252"/>
        <v>16.361284609498004</v>
      </c>
      <c r="BM228" s="63">
        <f t="shared" si="253"/>
        <v>64.488606651426309</v>
      </c>
    </row>
    <row r="229" spans="14:65" x14ac:dyDescent="0.3">
      <c r="N229" s="11">
        <v>11</v>
      </c>
      <c r="O229" s="52">
        <f t="shared" si="254"/>
        <v>1288.2495516931347</v>
      </c>
      <c r="P229" s="50" t="str">
        <f t="shared" si="206"/>
        <v>23.3035714285714</v>
      </c>
      <c r="Q229" s="18" t="str">
        <f t="shared" si="207"/>
        <v>1+3.07005639850003i</v>
      </c>
      <c r="R229" s="18">
        <f t="shared" si="218"/>
        <v>3.2288149977926848</v>
      </c>
      <c r="S229" s="18">
        <f t="shared" si="219"/>
        <v>1.255907098375159</v>
      </c>
      <c r="T229" s="18" t="str">
        <f t="shared" si="208"/>
        <v>1+0.0143269298596668i</v>
      </c>
      <c r="U229" s="18">
        <f t="shared" si="220"/>
        <v>1.0001026251936367</v>
      </c>
      <c r="V229" s="18">
        <f t="shared" si="221"/>
        <v>1.4325949727442885E-2</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2.13150580507965-6.89739542907495i</v>
      </c>
      <c r="AD229" s="66">
        <f t="shared" si="227"/>
        <v>17.169825809621923</v>
      </c>
      <c r="AE229" s="63">
        <f t="shared" si="228"/>
        <v>-72.827253916144215</v>
      </c>
      <c r="AF229" s="51" t="e">
        <f t="shared" si="229"/>
        <v>#NUM!</v>
      </c>
      <c r="AG229" s="51" t="str">
        <f t="shared" si="211"/>
        <v>1-4.29807895790005i</v>
      </c>
      <c r="AH229" s="51">
        <f t="shared" si="230"/>
        <v>4.4128769219572828</v>
      </c>
      <c r="AI229" s="51">
        <f t="shared" si="231"/>
        <v>-1.3422010801845321</v>
      </c>
      <c r="AJ229" s="51" t="str">
        <f t="shared" si="212"/>
        <v>1+0.0143269298596668i</v>
      </c>
      <c r="AK229" s="51">
        <f t="shared" si="232"/>
        <v>1.0001026251936367</v>
      </c>
      <c r="AL229" s="51">
        <f t="shared" si="233"/>
        <v>1.4325949727442885E-2</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2.73414683147838+5.76780975782892i</v>
      </c>
      <c r="BG229" s="66">
        <f t="shared" si="249"/>
        <v>16.100550110732151</v>
      </c>
      <c r="BH229" s="63">
        <f t="shared" si="250"/>
        <v>64.637385374493533</v>
      </c>
      <c r="BI229" s="60" t="e">
        <f t="shared" si="203"/>
        <v>#NUM!</v>
      </c>
      <c r="BJ229" s="66" t="e">
        <f t="shared" si="251"/>
        <v>#NUM!</v>
      </c>
      <c r="BK229" s="63" t="e">
        <f t="shared" si="204"/>
        <v>#NUM!</v>
      </c>
      <c r="BL229" s="51">
        <f t="shared" si="252"/>
        <v>16.100550110732151</v>
      </c>
      <c r="BM229" s="63">
        <f t="shared" si="253"/>
        <v>64.637385374493533</v>
      </c>
    </row>
    <row r="230" spans="14:65" x14ac:dyDescent="0.3">
      <c r="N230" s="11">
        <v>12</v>
      </c>
      <c r="O230" s="52">
        <f t="shared" si="254"/>
        <v>1318.2567385564089</v>
      </c>
      <c r="P230" s="50" t="str">
        <f t="shared" si="206"/>
        <v>23.3035714285714</v>
      </c>
      <c r="Q230" s="18" t="str">
        <f t="shared" si="207"/>
        <v>1+3.14156719849178i</v>
      </c>
      <c r="R230" s="18">
        <f t="shared" si="218"/>
        <v>3.2968840535632262</v>
      </c>
      <c r="S230" s="18">
        <f t="shared" si="219"/>
        <v>1.262624913801107</v>
      </c>
      <c r="T230" s="18" t="str">
        <f t="shared" si="208"/>
        <v>1+0.014660646926295i</v>
      </c>
      <c r="U230" s="18">
        <f t="shared" si="220"/>
        <v>1.0001074615101606</v>
      </c>
      <c r="V230" s="18">
        <f t="shared" si="221"/>
        <v>1.4659596701790048E-2</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2.03970589924454-6.76966250588368i</v>
      </c>
      <c r="AD230" s="66">
        <f t="shared" si="227"/>
        <v>16.98872108529789</v>
      </c>
      <c r="AE230" s="63">
        <f t="shared" si="228"/>
        <v>-73.232394719726813</v>
      </c>
      <c r="AF230" s="51" t="e">
        <f t="shared" si="229"/>
        <v>#NUM!</v>
      </c>
      <c r="AG230" s="51" t="str">
        <f t="shared" si="211"/>
        <v>1-4.3981940778885i</v>
      </c>
      <c r="AH230" s="51">
        <f t="shared" si="230"/>
        <v>4.5104446728425209</v>
      </c>
      <c r="AI230" s="51">
        <f t="shared" si="231"/>
        <v>-1.3472309915092067</v>
      </c>
      <c r="AJ230" s="51" t="str">
        <f t="shared" si="212"/>
        <v>1+0.014660646926295i</v>
      </c>
      <c r="AK230" s="51">
        <f t="shared" si="232"/>
        <v>1.0001074615101606</v>
      </c>
      <c r="AL230" s="51">
        <f t="shared" si="233"/>
        <v>1.4659596701790048E-2</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2.63900526242273+5.60506800209502i</v>
      </c>
      <c r="BG230" s="66">
        <f t="shared" si="249"/>
        <v>15.841178257242127</v>
      </c>
      <c r="BH230" s="63">
        <f t="shared" si="250"/>
        <v>64.78777859856811</v>
      </c>
      <c r="BI230" s="60" t="e">
        <f t="shared" si="203"/>
        <v>#NUM!</v>
      </c>
      <c r="BJ230" s="66" t="e">
        <f t="shared" si="251"/>
        <v>#NUM!</v>
      </c>
      <c r="BK230" s="63" t="e">
        <f t="shared" si="204"/>
        <v>#NUM!</v>
      </c>
      <c r="BL230" s="51">
        <f t="shared" si="252"/>
        <v>15.841178257242127</v>
      </c>
      <c r="BM230" s="63">
        <f t="shared" si="253"/>
        <v>64.78777859856811</v>
      </c>
    </row>
    <row r="231" spans="14:65" x14ac:dyDescent="0.3">
      <c r="N231" s="11">
        <v>13</v>
      </c>
      <c r="O231" s="52">
        <f t="shared" si="254"/>
        <v>1348.9628825916541</v>
      </c>
      <c r="P231" s="50" t="str">
        <f t="shared" si="206"/>
        <v>23.3035714285714</v>
      </c>
      <c r="Q231" s="18" t="str">
        <f t="shared" si="207"/>
        <v>1+3.21474369899571i</v>
      </c>
      <c r="R231" s="18">
        <f t="shared" si="218"/>
        <v>3.3666863605380026</v>
      </c>
      <c r="S231" s="18">
        <f t="shared" si="219"/>
        <v>1.2692176917592932</v>
      </c>
      <c r="T231" s="18" t="str">
        <f t="shared" si="208"/>
        <v>1+0.01500213726198i</v>
      </c>
      <c r="U231" s="18">
        <f t="shared" si="220"/>
        <v>1.0001125257301937</v>
      </c>
      <c r="V231" s="18">
        <f t="shared" si="221"/>
        <v>1.5001011932986334E-2</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1.95129140631744-6.64312005917487i</v>
      </c>
      <c r="AD231" s="66">
        <f t="shared" si="227"/>
        <v>16.806851861405619</v>
      </c>
      <c r="AE231" s="63">
        <f t="shared" si="228"/>
        <v>-73.630842451658168</v>
      </c>
      <c r="AF231" s="51" t="e">
        <f t="shared" si="229"/>
        <v>#NUM!</v>
      </c>
      <c r="AG231" s="51" t="str">
        <f t="shared" si="211"/>
        <v>1-4.50064117859401i</v>
      </c>
      <c r="AH231" s="51">
        <f t="shared" si="230"/>
        <v>4.610398140991304</v>
      </c>
      <c r="AI231" s="51">
        <f t="shared" si="231"/>
        <v>-1.3521575499349334</v>
      </c>
      <c r="AJ231" s="51" t="str">
        <f t="shared" si="212"/>
        <v>1+0.01500213726198i</v>
      </c>
      <c r="AK231" s="51">
        <f t="shared" si="232"/>
        <v>1.0001125257301937</v>
      </c>
      <c r="AL231" s="51">
        <f t="shared" si="233"/>
        <v>1.5001011932986334E-2</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2.54736574781424+5.44778277643731i</v>
      </c>
      <c r="BG231" s="66">
        <f t="shared" si="249"/>
        <v>15.583174026097726</v>
      </c>
      <c r="BH231" s="63">
        <f t="shared" si="250"/>
        <v>64.939360250962437</v>
      </c>
      <c r="BI231" s="60" t="e">
        <f t="shared" si="203"/>
        <v>#NUM!</v>
      </c>
      <c r="BJ231" s="66" t="e">
        <f t="shared" si="251"/>
        <v>#NUM!</v>
      </c>
      <c r="BK231" s="63" t="e">
        <f t="shared" si="204"/>
        <v>#NUM!</v>
      </c>
      <c r="BL231" s="51">
        <f t="shared" si="252"/>
        <v>15.583174026097726</v>
      </c>
      <c r="BM231" s="63">
        <f t="shared" si="253"/>
        <v>64.939360250962437</v>
      </c>
    </row>
    <row r="232" spans="14:65" x14ac:dyDescent="0.3">
      <c r="N232" s="11">
        <v>14</v>
      </c>
      <c r="O232" s="52">
        <f t="shared" si="254"/>
        <v>1380.3842646028863</v>
      </c>
      <c r="P232" s="50" t="str">
        <f t="shared" si="206"/>
        <v>23.3035714285714</v>
      </c>
      <c r="Q232" s="18" t="str">
        <f t="shared" si="207"/>
        <v>1+3.28962469916102i</v>
      </c>
      <c r="R232" s="18">
        <f t="shared" si="218"/>
        <v>3.4382598303982537</v>
      </c>
      <c r="S232" s="18">
        <f t="shared" si="219"/>
        <v>1.275686634583352</v>
      </c>
      <c r="T232" s="18" t="str">
        <f t="shared" si="208"/>
        <v>1+0.0153515819294181i</v>
      </c>
      <c r="U232" s="18">
        <f t="shared" si="220"/>
        <v>1.0001178285920793</v>
      </c>
      <c r="V232" s="18">
        <f t="shared" si="221"/>
        <v>1.5350376125349141E-2</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1.86616708506526-6.517833052642i</v>
      </c>
      <c r="AD232" s="66">
        <f t="shared" si="227"/>
        <v>16.624246877932926</v>
      </c>
      <c r="AE232" s="63">
        <f t="shared" si="228"/>
        <v>-74.022676946687398</v>
      </c>
      <c r="AF232" s="51" t="e">
        <f t="shared" si="229"/>
        <v>#NUM!</v>
      </c>
      <c r="AG232" s="51" t="str">
        <f t="shared" si="211"/>
        <v>1-4.60547457882544i</v>
      </c>
      <c r="AH232" s="51">
        <f t="shared" si="230"/>
        <v>4.712790690897207</v>
      </c>
      <c r="AI232" s="51">
        <f t="shared" si="231"/>
        <v>-1.3569824105756974</v>
      </c>
      <c r="AJ232" s="51" t="str">
        <f t="shared" si="212"/>
        <v>1+0.0153515819294181i</v>
      </c>
      <c r="AK232" s="51">
        <f t="shared" si="232"/>
        <v>1.0001178285920793</v>
      </c>
      <c r="AL232" s="51">
        <f t="shared" si="233"/>
        <v>1.5350376125349141E-2</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2.45912949100544+5.29573396966172i</v>
      </c>
      <c r="BG232" s="66">
        <f t="shared" si="249"/>
        <v>15.326539591484195</v>
      </c>
      <c r="BH232" s="63">
        <f t="shared" si="250"/>
        <v>65.091707878263691</v>
      </c>
      <c r="BI232" s="60" t="e">
        <f t="shared" si="203"/>
        <v>#NUM!</v>
      </c>
      <c r="BJ232" s="66" t="e">
        <f t="shared" si="251"/>
        <v>#NUM!</v>
      </c>
      <c r="BK232" s="63" t="e">
        <f t="shared" si="204"/>
        <v>#NUM!</v>
      </c>
      <c r="BL232" s="51">
        <f t="shared" si="252"/>
        <v>15.326539591484195</v>
      </c>
      <c r="BM232" s="63">
        <f t="shared" si="253"/>
        <v>65.091707878263691</v>
      </c>
    </row>
    <row r="233" spans="14:65" x14ac:dyDescent="0.3">
      <c r="N233" s="11">
        <v>15</v>
      </c>
      <c r="O233" s="52">
        <f t="shared" si="254"/>
        <v>1412.5375446227545</v>
      </c>
      <c r="P233" s="50" t="str">
        <f t="shared" si="206"/>
        <v>23.3035714285714</v>
      </c>
      <c r="Q233" s="18" t="str">
        <f t="shared" si="207"/>
        <v>1+3.36624990188516i</v>
      </c>
      <c r="R233" s="18">
        <f t="shared" si="218"/>
        <v>3.5116432623405598</v>
      </c>
      <c r="S233" s="18">
        <f t="shared" si="219"/>
        <v>1.2820330057434182</v>
      </c>
      <c r="T233" s="18" t="str">
        <f t="shared" si="208"/>
        <v>1+0.0157091662087974i</v>
      </c>
      <c r="U233" s="18">
        <f t="shared" si="220"/>
        <v>1.0001233813400103</v>
      </c>
      <c r="V233" s="18">
        <f t="shared" si="221"/>
        <v>1.5707874175067728E-2</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1.78423793261785-6.39386094235659i</v>
      </c>
      <c r="AD233" s="66">
        <f t="shared" si="227"/>
        <v>16.440934073343698</v>
      </c>
      <c r="AE233" s="63">
        <f t="shared" si="228"/>
        <v>-74.407981795537509</v>
      </c>
      <c r="AF233" s="51" t="e">
        <f t="shared" si="229"/>
        <v>#NUM!</v>
      </c>
      <c r="AG233" s="51" t="str">
        <f t="shared" si="211"/>
        <v>1-4.71274986263923i</v>
      </c>
      <c r="AH233" s="51">
        <f t="shared" si="230"/>
        <v>4.8176769576016696</v>
      </c>
      <c r="AI233" s="51">
        <f t="shared" si="231"/>
        <v>-1.3617072326706645</v>
      </c>
      <c r="AJ233" s="51" t="str">
        <f t="shared" si="212"/>
        <v>1+0.0157091662087974i</v>
      </c>
      <c r="AK233" s="51">
        <f t="shared" si="232"/>
        <v>1.0001233813400103</v>
      </c>
      <c r="AL233" s="51">
        <f t="shared" si="233"/>
        <v>1.5707874175067728E-2</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2.37419793446937+5.14871064216397i</v>
      </c>
      <c r="BG233" s="66">
        <f t="shared" si="249"/>
        <v>15.071274417120906</v>
      </c>
      <c r="BH233" s="63">
        <f t="shared" si="250"/>
        <v>65.24440354576852</v>
      </c>
      <c r="BI233" s="60" t="e">
        <f t="shared" si="203"/>
        <v>#NUM!</v>
      </c>
      <c r="BJ233" s="66" t="e">
        <f t="shared" si="251"/>
        <v>#NUM!</v>
      </c>
      <c r="BK233" s="63" t="e">
        <f t="shared" si="204"/>
        <v>#NUM!</v>
      </c>
      <c r="BL233" s="51">
        <f t="shared" si="252"/>
        <v>15.071274417120906</v>
      </c>
      <c r="BM233" s="63">
        <f t="shared" si="253"/>
        <v>65.24440354576852</v>
      </c>
    </row>
    <row r="234" spans="14:65" x14ac:dyDescent="0.3">
      <c r="N234" s="11">
        <v>16</v>
      </c>
      <c r="O234" s="52">
        <f t="shared" si="254"/>
        <v>1445.4397707459289</v>
      </c>
      <c r="P234" s="50" t="str">
        <f t="shared" si="206"/>
        <v>23.3035714285714</v>
      </c>
      <c r="Q234" s="18" t="str">
        <f t="shared" si="207"/>
        <v>1+3.44465993486486i</v>
      </c>
      <c r="R234" s="18">
        <f t="shared" si="218"/>
        <v>3.5868763662639922</v>
      </c>
      <c r="S234" s="18">
        <f t="shared" si="219"/>
        <v>1.2882581245335614</v>
      </c>
      <c r="T234" s="18" t="str">
        <f t="shared" si="208"/>
        <v>1+0.016075079696036i</v>
      </c>
      <c r="U234" s="18">
        <f t="shared" si="220"/>
        <v>1.0001291957478462</v>
      </c>
      <c r="V234" s="18">
        <f t="shared" si="221"/>
        <v>1.6073695266610434E-2</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1.70540942209221-6.27125788715053i</v>
      </c>
      <c r="AD234" s="66">
        <f t="shared" si="227"/>
        <v>16.256940588161576</v>
      </c>
      <c r="AE234" s="63">
        <f t="shared" si="228"/>
        <v>-74.786844046280521</v>
      </c>
      <c r="AF234" s="51" t="e">
        <f t="shared" si="229"/>
        <v>#NUM!</v>
      </c>
      <c r="AG234" s="51" t="str">
        <f t="shared" si="211"/>
        <v>1-4.82252390881082i</v>
      </c>
      <c r="AH234" s="51">
        <f t="shared" si="230"/>
        <v>4.9251128769858656</v>
      </c>
      <c r="AI234" s="51">
        <f t="shared" si="231"/>
        <v>-1.366333677179236</v>
      </c>
      <c r="AJ234" s="51" t="str">
        <f t="shared" si="212"/>
        <v>1+0.016075079696036i</v>
      </c>
      <c r="AK234" s="51">
        <f t="shared" si="232"/>
        <v>1.0001291957478462</v>
      </c>
      <c r="AL234" s="51">
        <f t="shared" si="233"/>
        <v>1.6073695266610434E-2</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2.29247300553543+5.00651072904422i</v>
      </c>
      <c r="BG234" s="66">
        <f t="shared" si="249"/>
        <v>14.817375355795743</v>
      </c>
      <c r="BH234" s="63">
        <f t="shared" si="250"/>
        <v>65.397034672473708</v>
      </c>
      <c r="BI234" s="60" t="e">
        <f t="shared" si="203"/>
        <v>#NUM!</v>
      </c>
      <c r="BJ234" s="66" t="e">
        <f t="shared" si="251"/>
        <v>#NUM!</v>
      </c>
      <c r="BK234" s="63" t="e">
        <f t="shared" si="204"/>
        <v>#NUM!</v>
      </c>
      <c r="BL234" s="51">
        <f t="shared" si="252"/>
        <v>14.817375355795743</v>
      </c>
      <c r="BM234" s="63">
        <f t="shared" si="253"/>
        <v>65.397034672473708</v>
      </c>
    </row>
    <row r="235" spans="14:65" x14ac:dyDescent="0.3">
      <c r="N235" s="11">
        <v>17</v>
      </c>
      <c r="O235" s="52">
        <f t="shared" si="254"/>
        <v>1479.1083881682086</v>
      </c>
      <c r="P235" s="50" t="str">
        <f t="shared" si="206"/>
        <v>23.3035714285714</v>
      </c>
      <c r="Q235" s="18" t="str">
        <f t="shared" si="207"/>
        <v>1+3.52489637213749i</v>
      </c>
      <c r="R235" s="18">
        <f t="shared" si="218"/>
        <v>3.6639997863411566</v>
      </c>
      <c r="S235" s="18">
        <f t="shared" si="219"/>
        <v>1.2943633609680398</v>
      </c>
      <c r="T235" s="18" t="str">
        <f t="shared" si="208"/>
        <v>1+0.0164495164033083i</v>
      </c>
      <c r="U235" s="18">
        <f t="shared" si="220"/>
        <v>1.0001352841440514</v>
      </c>
      <c r="V235" s="18">
        <f t="shared" si="221"/>
        <v>1.6448032971289234E-2</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1.6295877188585-6.1500729627465i</v>
      </c>
      <c r="AD235" s="66">
        <f t="shared" si="227"/>
        <v>16.072292770515414</v>
      </c>
      <c r="AE235" s="63">
        <f t="shared" si="228"/>
        <v>-75.159353917802306</v>
      </c>
      <c r="AF235" s="51" t="e">
        <f t="shared" si="229"/>
        <v>#NUM!</v>
      </c>
      <c r="AG235" s="51" t="str">
        <f t="shared" si="211"/>
        <v>1-4.9348549209925i</v>
      </c>
      <c r="AH235" s="51">
        <f t="shared" si="230"/>
        <v>5.0351557166828398</v>
      </c>
      <c r="AI235" s="51">
        <f t="shared" si="231"/>
        <v>-1.370863404538329</v>
      </c>
      <c r="AJ235" s="51" t="str">
        <f t="shared" si="212"/>
        <v>1+0.0164495164033083i</v>
      </c>
      <c r="AK235" s="51">
        <f t="shared" si="232"/>
        <v>1.0001352841440514</v>
      </c>
      <c r="AL235" s="51">
        <f t="shared" si="233"/>
        <v>1.6448032971289234E-2</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2.21385733999529+4.86894074114975i</v>
      </c>
      <c r="BG235" s="66">
        <f t="shared" si="249"/>
        <v>14.564836755061176</v>
      </c>
      <c r="BH235" s="63">
        <f t="shared" si="250"/>
        <v>65.549194799532017</v>
      </c>
      <c r="BI235" s="60" t="e">
        <f t="shared" si="203"/>
        <v>#NUM!</v>
      </c>
      <c r="BJ235" s="66" t="e">
        <f t="shared" si="251"/>
        <v>#NUM!</v>
      </c>
      <c r="BK235" s="63" t="e">
        <f t="shared" si="204"/>
        <v>#NUM!</v>
      </c>
      <c r="BL235" s="51">
        <f t="shared" si="252"/>
        <v>14.564836755061176</v>
      </c>
      <c r="BM235" s="63">
        <f t="shared" si="253"/>
        <v>65.549194799532017</v>
      </c>
    </row>
    <row r="236" spans="14:65" x14ac:dyDescent="0.3">
      <c r="N236" s="11">
        <v>18</v>
      </c>
      <c r="O236" s="52">
        <f t="shared" si="254"/>
        <v>1513.5612484362093</v>
      </c>
      <c r="P236" s="50" t="str">
        <f t="shared" si="206"/>
        <v>23.3035714285714</v>
      </c>
      <c r="Q236" s="18" t="str">
        <f t="shared" si="207"/>
        <v>1+3.60700175612415i</v>
      </c>
      <c r="R236" s="18">
        <f t="shared" si="218"/>
        <v>3.7430551249858315</v>
      </c>
      <c r="S236" s="18">
        <f t="shared" si="219"/>
        <v>1.3003501308893037</v>
      </c>
      <c r="T236" s="18" t="str">
        <f t="shared" si="208"/>
        <v>1+0.0168326748619127i</v>
      </c>
      <c r="U236" s="18">
        <f t="shared" si="220"/>
        <v>1.0001416594378052</v>
      </c>
      <c r="V236" s="18">
        <f t="shared" si="221"/>
        <v>1.6831085348025545E-2</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1.55667987629201-6.03035037812946i</v>
      </c>
      <c r="AD236" s="66">
        <f t="shared" si="227"/>
        <v>15.887016183468859</v>
      </c>
      <c r="AE236" s="63">
        <f t="shared" si="228"/>
        <v>-75.525604525526958</v>
      </c>
      <c r="AF236" s="51" t="e">
        <f t="shared" si="229"/>
        <v>#NUM!</v>
      </c>
      <c r="AG236" s="51" t="str">
        <f t="shared" si="211"/>
        <v>1-5.04980245857382i</v>
      </c>
      <c r="AH236" s="51">
        <f t="shared" si="230"/>
        <v>5.1478641076293181</v>
      </c>
      <c r="AI236" s="51">
        <f t="shared" si="231"/>
        <v>-1.3752980725753776</v>
      </c>
      <c r="AJ236" s="51" t="str">
        <f t="shared" si="212"/>
        <v>1+0.0168326748619127i</v>
      </c>
      <c r="AK236" s="51">
        <f t="shared" si="232"/>
        <v>1.0001416594378052</v>
      </c>
      <c r="AL236" s="51">
        <f t="shared" si="233"/>
        <v>1.6831085348025545E-2</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2.1382544844521+4.73581546556493i</v>
      </c>
      <c r="BG236" s="66">
        <f t="shared" si="249"/>
        <v>14.313650568130914</v>
      </c>
      <c r="BH236" s="63">
        <f t="shared" si="250"/>
        <v>65.700484290705262</v>
      </c>
      <c r="BI236" s="60" t="e">
        <f t="shared" si="203"/>
        <v>#NUM!</v>
      </c>
      <c r="BJ236" s="66" t="e">
        <f t="shared" si="251"/>
        <v>#NUM!</v>
      </c>
      <c r="BK236" s="63" t="e">
        <f t="shared" si="204"/>
        <v>#NUM!</v>
      </c>
      <c r="BL236" s="51">
        <f t="shared" si="252"/>
        <v>14.313650568130914</v>
      </c>
      <c r="BM236" s="63">
        <f t="shared" si="253"/>
        <v>65.700484290705262</v>
      </c>
    </row>
    <row r="237" spans="14:65" x14ac:dyDescent="0.3">
      <c r="N237" s="11">
        <v>19</v>
      </c>
      <c r="O237" s="52">
        <f t="shared" si="254"/>
        <v>1548.8166189124822</v>
      </c>
      <c r="P237" s="50" t="str">
        <f t="shared" si="206"/>
        <v>23.3035714285714</v>
      </c>
      <c r="Q237" s="18" t="str">
        <f t="shared" si="207"/>
        <v>1+3.69101962018621i</v>
      </c>
      <c r="R237" s="18">
        <f t="shared" si="218"/>
        <v>3.8240849672306649</v>
      </c>
      <c r="S237" s="18">
        <f t="shared" si="219"/>
        <v>1.3062198912892757</v>
      </c>
      <c r="T237" s="18" t="str">
        <f t="shared" si="208"/>
        <v>1+0.0172247582275357i</v>
      </c>
      <c r="U237" s="18">
        <f t="shared" si="220"/>
        <v>1.0001483351463407</v>
      </c>
      <c r="V237" s="18">
        <f t="shared" si="221"/>
        <v>1.7223055046362352E-2</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1.48659401191084-5.91212969279762i</v>
      </c>
      <c r="AD237" s="66">
        <f t="shared" si="227"/>
        <v>15.701135613963935</v>
      </c>
      <c r="AE237" s="63">
        <f t="shared" si="228"/>
        <v>-75.885691619489975</v>
      </c>
      <c r="AF237" s="51" t="e">
        <f t="shared" si="229"/>
        <v>#NUM!</v>
      </c>
      <c r="AG237" s="51" t="str">
        <f t="shared" si="211"/>
        <v>1-5.16742746826071i</v>
      </c>
      <c r="AH237" s="51">
        <f t="shared" si="230"/>
        <v>5.2632980762764419</v>
      </c>
      <c r="AI237" s="51">
        <f t="shared" si="231"/>
        <v>-1.3796393345704956</v>
      </c>
      <c r="AJ237" s="51" t="str">
        <f t="shared" si="212"/>
        <v>1+0.0172247582275357i</v>
      </c>
      <c r="AK237" s="51">
        <f t="shared" si="232"/>
        <v>1.0001483351463407</v>
      </c>
      <c r="AL237" s="51">
        <f t="shared" si="233"/>
        <v>1.7223055046362352E-2</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2.06556907834465+4.60695766692031i</v>
      </c>
      <c r="BG237" s="66">
        <f t="shared" si="249"/>
        <v>14.063806469026026</v>
      </c>
      <c r="BH237" s="63">
        <f t="shared" si="250"/>
        <v>65.850510963959422</v>
      </c>
      <c r="BI237" s="60" t="e">
        <f t="shared" si="203"/>
        <v>#NUM!</v>
      </c>
      <c r="BJ237" s="66" t="e">
        <f t="shared" si="251"/>
        <v>#NUM!</v>
      </c>
      <c r="BK237" s="63" t="e">
        <f t="shared" si="204"/>
        <v>#NUM!</v>
      </c>
      <c r="BL237" s="51">
        <f t="shared" si="252"/>
        <v>14.063806469026026</v>
      </c>
      <c r="BM237" s="63">
        <f t="shared" si="253"/>
        <v>65.850510963959422</v>
      </c>
    </row>
    <row r="238" spans="14:65" x14ac:dyDescent="0.3">
      <c r="N238" s="11">
        <v>20</v>
      </c>
      <c r="O238" s="52">
        <f t="shared" si="254"/>
        <v>1584.8931924611156</v>
      </c>
      <c r="P238" s="50" t="str">
        <f t="shared" si="206"/>
        <v>23.3035714285714</v>
      </c>
      <c r="Q238" s="18" t="str">
        <f t="shared" si="207"/>
        <v>1+3.77699451170733i</v>
      </c>
      <c r="R238" s="18">
        <f t="shared" si="218"/>
        <v>3.9071329055289756</v>
      </c>
      <c r="S238" s="18">
        <f t="shared" si="219"/>
        <v>1.3119741358441643</v>
      </c>
      <c r="T238" s="18" t="str">
        <f t="shared" si="208"/>
        <v>1+0.0176259743879675i</v>
      </c>
      <c r="U238" s="18">
        <f t="shared" si="220"/>
        <v>1.0001553254235691</v>
      </c>
      <c r="V238" s="18">
        <f t="shared" si="221"/>
        <v>1.7624149411766987E-2</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1.41923946483985-5.79544603367151i</v>
      </c>
      <c r="AD238" s="66">
        <f t="shared" si="227"/>
        <v>15.514675083216275</v>
      </c>
      <c r="AE238" s="63">
        <f t="shared" si="228"/>
        <v>-76.239713334777505</v>
      </c>
      <c r="AF238" s="51" t="e">
        <f t="shared" si="229"/>
        <v>#NUM!</v>
      </c>
      <c r="AG238" s="51" t="str">
        <f t="shared" si="211"/>
        <v>1-5.28779231639027i</v>
      </c>
      <c r="AH238" s="51">
        <f t="shared" si="230"/>
        <v>5.3815190774795152</v>
      </c>
      <c r="AI238" s="51">
        <f t="shared" si="231"/>
        <v>-1.383888837461263</v>
      </c>
      <c r="AJ238" s="51" t="str">
        <f t="shared" si="212"/>
        <v>1+0.0176259743879675i</v>
      </c>
      <c r="AK238" s="51">
        <f t="shared" si="232"/>
        <v>1.0001553254235691</v>
      </c>
      <c r="AL238" s="51">
        <f t="shared" si="233"/>
        <v>1.7624149411766987E-2</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1.99570701662026+4.48219779074689i</v>
      </c>
      <c r="BG238" s="66">
        <f t="shared" si="249"/>
        <v>13.815291971032885</v>
      </c>
      <c r="BH238" s="63">
        <f t="shared" si="250"/>
        <v>65.998890653927745</v>
      </c>
      <c r="BI238" s="60" t="e">
        <f t="shared" si="203"/>
        <v>#NUM!</v>
      </c>
      <c r="BJ238" s="66" t="e">
        <f t="shared" si="251"/>
        <v>#NUM!</v>
      </c>
      <c r="BK238" s="63" t="e">
        <f t="shared" si="204"/>
        <v>#NUM!</v>
      </c>
      <c r="BL238" s="51">
        <f t="shared" si="252"/>
        <v>13.815291971032885</v>
      </c>
      <c r="BM238" s="63">
        <f t="shared" si="253"/>
        <v>65.998890653927745</v>
      </c>
    </row>
    <row r="239" spans="14:65" x14ac:dyDescent="0.3">
      <c r="N239" s="11">
        <v>21</v>
      </c>
      <c r="O239" s="52">
        <f t="shared" si="254"/>
        <v>1621.8100973589308</v>
      </c>
      <c r="P239" s="50" t="str">
        <f t="shared" si="206"/>
        <v>23.3035714285714</v>
      </c>
      <c r="Q239" s="18" t="str">
        <f t="shared" si="207"/>
        <v>1+3.86497201571296i</v>
      </c>
      <c r="R239" s="18">
        <f t="shared" si="218"/>
        <v>3.9922435649950394</v>
      </c>
      <c r="S239" s="18">
        <f t="shared" si="219"/>
        <v>1.3176143906619113</v>
      </c>
      <c r="T239" s="18" t="str">
        <f t="shared" si="208"/>
        <v>1+0.0180365360733272i</v>
      </c>
      <c r="U239" s="18">
        <f t="shared" si="220"/>
        <v>1.0001626450900496</v>
      </c>
      <c r="V239" s="18">
        <f t="shared" si="221"/>
        <v>1.8034580593271187E-2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1.3545269355692-5.68033031057381i</v>
      </c>
      <c r="AD239" s="66">
        <f t="shared" si="227"/>
        <v>15.327657858407836</v>
      </c>
      <c r="AE239" s="63">
        <f t="shared" si="228"/>
        <v>-76.587769954282606</v>
      </c>
      <c r="AF239" s="51" t="e">
        <f t="shared" si="229"/>
        <v>#NUM!</v>
      </c>
      <c r="AG239" s="51" t="str">
        <f t="shared" si="211"/>
        <v>1-5.41096082199816i</v>
      </c>
      <c r="AH239" s="51">
        <f t="shared" si="230"/>
        <v>5.5025900280866828</v>
      </c>
      <c r="AI239" s="51">
        <f t="shared" si="231"/>
        <v>-1.3880482201836166</v>
      </c>
      <c r="AJ239" s="51" t="str">
        <f t="shared" si="212"/>
        <v>1+0.0180365360733272i</v>
      </c>
      <c r="AK239" s="51">
        <f t="shared" si="232"/>
        <v>1.0001626450900496</v>
      </c>
      <c r="AL239" s="51">
        <f t="shared" si="233"/>
        <v>1.8034580593271187E-2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1.92857559405845+4.36137366996422i</v>
      </c>
      <c r="BG239" s="66">
        <f t="shared" si="249"/>
        <v>13.568092547559802</v>
      </c>
      <c r="BH239" s="63">
        <f t="shared" si="250"/>
        <v>66.145247705532114</v>
      </c>
      <c r="BI239" s="60" t="e">
        <f t="shared" si="203"/>
        <v>#NUM!</v>
      </c>
      <c r="BJ239" s="66" t="e">
        <f t="shared" si="251"/>
        <v>#NUM!</v>
      </c>
      <c r="BK239" s="63" t="e">
        <f t="shared" si="204"/>
        <v>#NUM!</v>
      </c>
      <c r="BL239" s="51">
        <f t="shared" si="252"/>
        <v>13.568092547559802</v>
      </c>
      <c r="BM239" s="63">
        <f t="shared" si="253"/>
        <v>66.145247705532114</v>
      </c>
    </row>
    <row r="240" spans="14:65" x14ac:dyDescent="0.3">
      <c r="N240" s="11">
        <v>22</v>
      </c>
      <c r="O240" s="52">
        <f t="shared" si="254"/>
        <v>1659.5869074375626</v>
      </c>
      <c r="P240" s="50" t="str">
        <f t="shared" si="206"/>
        <v>23.3035714285714</v>
      </c>
      <c r="Q240" s="18" t="str">
        <f t="shared" si="207"/>
        <v>1+3.95499877904031i</v>
      </c>
      <c r="R240" s="18">
        <f t="shared" si="218"/>
        <v>4.0794626290983889</v>
      </c>
      <c r="S240" s="18">
        <f t="shared" si="219"/>
        <v>1.32314221024042</v>
      </c>
      <c r="T240" s="18" t="str">
        <f t="shared" si="208"/>
        <v>1+0.0184566609688548i</v>
      </c>
      <c r="U240" s="18">
        <f t="shared" si="220"/>
        <v>1.0001703096643688</v>
      </c>
      <c r="V240" s="18">
        <f t="shared" si="221"/>
        <v>1.8454565653493397E-2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1.29236860899126-5.56680942932017i</v>
      </c>
      <c r="AD240" s="66">
        <f t="shared" si="227"/>
        <v>15.140106465531103</v>
      </c>
      <c r="AE240" s="63">
        <f t="shared" si="228"/>
        <v>-76.929963683674188</v>
      </c>
      <c r="AF240" s="51" t="e">
        <f t="shared" si="229"/>
        <v>#NUM!</v>
      </c>
      <c r="AG240" s="51" t="str">
        <f t="shared" si="211"/>
        <v>1-5.53699829065644i</v>
      </c>
      <c r="AH240" s="51">
        <f t="shared" si="230"/>
        <v>5.6265753412473147</v>
      </c>
      <c r="AI240" s="51">
        <f t="shared" si="231"/>
        <v>-1.3921191121424175</v>
      </c>
      <c r="AJ240" s="51" t="str">
        <f t="shared" si="212"/>
        <v>1+0.0184566609688548i</v>
      </c>
      <c r="AK240" s="51">
        <f t="shared" si="232"/>
        <v>1.0001703096643688</v>
      </c>
      <c r="AL240" s="51">
        <f t="shared" si="233"/>
        <v>1.8454565653493397E-2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1.86408363226423+4.24433023545971i</v>
      </c>
      <c r="BG240" s="66">
        <f t="shared" si="249"/>
        <v>13.322191754511417</v>
      </c>
      <c r="BH240" s="63">
        <f t="shared" si="250"/>
        <v>66.289215399571162</v>
      </c>
      <c r="BI240" s="60" t="e">
        <f t="shared" si="203"/>
        <v>#NUM!</v>
      </c>
      <c r="BJ240" s="66" t="e">
        <f t="shared" si="251"/>
        <v>#NUM!</v>
      </c>
      <c r="BK240" s="63" t="e">
        <f t="shared" si="204"/>
        <v>#NUM!</v>
      </c>
      <c r="BL240" s="51">
        <f t="shared" si="252"/>
        <v>13.322191754511417</v>
      </c>
      <c r="BM240" s="63">
        <f t="shared" si="253"/>
        <v>66.289215399571162</v>
      </c>
    </row>
    <row r="241" spans="14:65" x14ac:dyDescent="0.3">
      <c r="N241" s="11">
        <v>23</v>
      </c>
      <c r="O241" s="52">
        <f t="shared" si="254"/>
        <v>1698.2436524617447</v>
      </c>
      <c r="P241" s="50" t="str">
        <f t="shared" si="206"/>
        <v>23.3035714285714</v>
      </c>
      <c r="Q241" s="18" t="str">
        <f t="shared" si="207"/>
        <v>1+4.04712253507087i</v>
      </c>
      <c r="R241" s="18">
        <f t="shared" si="218"/>
        <v>4.1688368658270223</v>
      </c>
      <c r="S241" s="18">
        <f t="shared" si="219"/>
        <v>1.3285591736337419</v>
      </c>
      <c r="T241" s="18" t="str">
        <f t="shared" si="208"/>
        <v>1+0.0188865718303307i</v>
      </c>
      <c r="U241" s="18">
        <f t="shared" si="220"/>
        <v>1.0001783353959943</v>
      </c>
      <c r="V241" s="18">
        <f t="shared" si="221"/>
        <v>1.8884326681090781E-2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1.23267826170578-5.45490650158234i</v>
      </c>
      <c r="AD241" s="66">
        <f t="shared" si="227"/>
        <v>14.952042703249035</v>
      </c>
      <c r="AE241" s="63">
        <f t="shared" si="228"/>
        <v>-77.266398438419074</v>
      </c>
      <c r="AF241" s="51" t="e">
        <f t="shared" si="229"/>
        <v>#NUM!</v>
      </c>
      <c r="AG241" s="51" t="str">
        <f t="shared" si="211"/>
        <v>1-5.66597154909923i</v>
      </c>
      <c r="AH241" s="51">
        <f t="shared" si="230"/>
        <v>5.7535409614603354</v>
      </c>
      <c r="AI241" s="51">
        <f t="shared" si="231"/>
        <v>-1.3961031318053332</v>
      </c>
      <c r="AJ241" s="51" t="str">
        <f t="shared" si="212"/>
        <v>1+0.0188865718303307i</v>
      </c>
      <c r="AK241" s="51">
        <f t="shared" si="232"/>
        <v>1.0001783353959943</v>
      </c>
      <c r="AL241" s="51">
        <f t="shared" si="233"/>
        <v>1.8884326681090781E-2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1.80214159035546+4.13091923159341i</v>
      </c>
      <c r="BG241" s="66">
        <f t="shared" si="249"/>
        <v>13.077571353339138</v>
      </c>
      <c r="BH241" s="63">
        <f t="shared" si="250"/>
        <v>66.430436311570631</v>
      </c>
      <c r="BI241" s="60" t="e">
        <f t="shared" si="203"/>
        <v>#NUM!</v>
      </c>
      <c r="BJ241" s="66" t="e">
        <f t="shared" si="251"/>
        <v>#NUM!</v>
      </c>
      <c r="BK241" s="63" t="e">
        <f t="shared" si="204"/>
        <v>#NUM!</v>
      </c>
      <c r="BL241" s="51">
        <f t="shared" si="252"/>
        <v>13.077571353339138</v>
      </c>
      <c r="BM241" s="63">
        <f t="shared" si="253"/>
        <v>66.430436311570631</v>
      </c>
    </row>
    <row r="242" spans="14:65" x14ac:dyDescent="0.3">
      <c r="N242" s="11">
        <v>24</v>
      </c>
      <c r="O242" s="52">
        <f t="shared" si="254"/>
        <v>1737.8008287493772</v>
      </c>
      <c r="P242" s="50" t="str">
        <f t="shared" si="206"/>
        <v>23.3035714285714</v>
      </c>
      <c r="Q242" s="18" t="str">
        <f t="shared" si="207"/>
        <v>1+4.14139212903956i</v>
      </c>
      <c r="R242" s="18">
        <f t="shared" si="218"/>
        <v>4.2604141543365026</v>
      </c>
      <c r="S242" s="18">
        <f t="shared" si="219"/>
        <v>1.3338668808227458</v>
      </c>
      <c r="T242" s="18" t="str">
        <f t="shared" si="208"/>
        <v>1+0.0193264966021846i</v>
      </c>
      <c r="U242" s="18">
        <f t="shared" si="220"/>
        <v>1.0001867392996742</v>
      </c>
      <c r="V242" s="18">
        <f t="shared" si="221"/>
        <v>1.9324090905688786E-2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1.17537135457816-5.34464105079575i</v>
      </c>
      <c r="AD242" s="66">
        <f t="shared" si="227"/>
        <v>14.763487657639764</v>
      </c>
      <c r="AE242" s="63">
        <f t="shared" si="228"/>
        <v>-77.597179642661061</v>
      </c>
      <c r="AF242" s="51" t="e">
        <f t="shared" si="229"/>
        <v>#NUM!</v>
      </c>
      <c r="AG242" s="51" t="str">
        <f t="shared" si="211"/>
        <v>1-5.79794898065539i</v>
      </c>
      <c r="AH242" s="51">
        <f t="shared" si="230"/>
        <v>5.88355440038442</v>
      </c>
      <c r="AI242" s="51">
        <f t="shared" si="231"/>
        <v>-1.400001885413841</v>
      </c>
      <c r="AJ242" s="51" t="str">
        <f t="shared" si="212"/>
        <v>1+0.0193264966021846i</v>
      </c>
      <c r="AK242" s="51">
        <f t="shared" si="232"/>
        <v>1.0001867392996742</v>
      </c>
      <c r="AL242" s="51">
        <f t="shared" si="233"/>
        <v>1.9324090905688786E-2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1.74266166036408+4.02099893734546i</v>
      </c>
      <c r="BG242" s="66">
        <f t="shared" si="249"/>
        <v>12.834211433968466</v>
      </c>
      <c r="BH242" s="63">
        <f t="shared" si="250"/>
        <v>66.568562605638107</v>
      </c>
      <c r="BI242" s="60" t="e">
        <f t="shared" ref="BI242:BI305" si="255">IMPRODUCT(AP242,BC242)</f>
        <v>#NUM!</v>
      </c>
      <c r="BJ242" s="66" t="e">
        <f t="shared" si="251"/>
        <v>#NUM!</v>
      </c>
      <c r="BK242" s="63" t="e">
        <f t="shared" ref="BK242:BK305" si="256">(180/PI())*IMARGUMENT(BI242)</f>
        <v>#NUM!</v>
      </c>
      <c r="BL242" s="51">
        <f t="shared" si="252"/>
        <v>12.834211433968466</v>
      </c>
      <c r="BM242" s="63">
        <f t="shared" si="253"/>
        <v>66.568562605638107</v>
      </c>
    </row>
    <row r="243" spans="14:65" x14ac:dyDescent="0.3">
      <c r="N243" s="11">
        <v>25</v>
      </c>
      <c r="O243" s="52">
        <f t="shared" si="254"/>
        <v>1778.2794100389244</v>
      </c>
      <c r="P243" s="50" t="str">
        <f t="shared" si="206"/>
        <v>23.3035714285714</v>
      </c>
      <c r="Q243" s="18" t="str">
        <f t="shared" si="207"/>
        <v>1+4.23785754393287i</v>
      </c>
      <c r="R243" s="18">
        <f t="shared" si="218"/>
        <v>4.3542435121004353</v>
      </c>
      <c r="S243" s="18">
        <f t="shared" si="219"/>
        <v>1.3390669492859979</v>
      </c>
      <c r="T243" s="18" t="str">
        <f t="shared" si="208"/>
        <v>1+0.0197766685383534i</v>
      </c>
      <c r="U243" s="18">
        <f t="shared" si="220"/>
        <v>1.0001955391914501</v>
      </c>
      <c r="V243" s="18">
        <f t="shared" si="221"/>
        <v>1.977409081533274E-2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1.12036511152578-5.23602921349129i</v>
      </c>
      <c r="AD243" s="66">
        <f t="shared" si="227"/>
        <v>14.574461717708068</v>
      </c>
      <c r="AE243" s="63">
        <f t="shared" si="228"/>
        <v>-77.922414039712891</v>
      </c>
      <c r="AF243" s="51" t="e">
        <f t="shared" si="229"/>
        <v>#NUM!</v>
      </c>
      <c r="AG243" s="51" t="str">
        <f t="shared" si="211"/>
        <v>1-5.93300056150603i</v>
      </c>
      <c r="AH243" s="51">
        <f t="shared" si="230"/>
        <v>6.0166847734305371</v>
      </c>
      <c r="AI243" s="51">
        <f t="shared" si="231"/>
        <v>-1.4038169658052395</v>
      </c>
      <c r="AJ243" s="51" t="str">
        <f t="shared" si="212"/>
        <v>1+0.0197766685383534i</v>
      </c>
      <c r="AK243" s="51">
        <f t="shared" si="232"/>
        <v>1.0001955391914501</v>
      </c>
      <c r="AL243" s="51">
        <f t="shared" si="233"/>
        <v>1.977409081533274E-2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1.68555784836044+3.91443389371678i</v>
      </c>
      <c r="BG243" s="66">
        <f t="shared" si="249"/>
        <v>12.592090536856354</v>
      </c>
      <c r="BH243" s="63">
        <f t="shared" si="250"/>
        <v>66.70325626545241</v>
      </c>
      <c r="BI243" s="60" t="e">
        <f t="shared" si="255"/>
        <v>#NUM!</v>
      </c>
      <c r="BJ243" s="66" t="e">
        <f t="shared" si="251"/>
        <v>#NUM!</v>
      </c>
      <c r="BK243" s="63" t="e">
        <f t="shared" si="256"/>
        <v>#NUM!</v>
      </c>
      <c r="BL243" s="51">
        <f t="shared" si="252"/>
        <v>12.592090536856354</v>
      </c>
      <c r="BM243" s="63">
        <f t="shared" si="253"/>
        <v>66.70325626545241</v>
      </c>
    </row>
    <row r="244" spans="14:65" x14ac:dyDescent="0.3">
      <c r="N244" s="11">
        <v>26</v>
      </c>
      <c r="O244" s="52">
        <f t="shared" si="254"/>
        <v>1819.7008586099832</v>
      </c>
      <c r="P244" s="50" t="str">
        <f t="shared" si="206"/>
        <v>23.3035714285714</v>
      </c>
      <c r="Q244" s="18" t="str">
        <f t="shared" si="207"/>
        <v>1+4.3365699269906i</v>
      </c>
      <c r="R244" s="18">
        <f t="shared" si="218"/>
        <v>4.4503751225800343</v>
      </c>
      <c r="S244" s="18">
        <f t="shared" si="219"/>
        <v>1.3441610107661446</v>
      </c>
      <c r="T244" s="18" t="str">
        <f t="shared" si="208"/>
        <v>1+0.0202373263259561i</v>
      </c>
      <c r="U244" s="18">
        <f t="shared" si="220"/>
        <v>1.0002047537263674</v>
      </c>
      <c r="V244" s="18">
        <f t="shared" si="221"/>
        <v>2.023456427651326E-2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1.06757858548763-5.12908393552654i</v>
      </c>
      <c r="AD244" s="66">
        <f t="shared" si="227"/>
        <v>14.384984591550396</v>
      </c>
      <c r="AE244" s="63">
        <f t="shared" si="228"/>
        <v>-78.242209513895446</v>
      </c>
      <c r="AF244" s="51" t="e">
        <f t="shared" si="229"/>
        <v>#NUM!</v>
      </c>
      <c r="AG244" s="51" t="str">
        <f t="shared" si="211"/>
        <v>1-6.07119789778685i</v>
      </c>
      <c r="AH244" s="51">
        <f t="shared" si="230"/>
        <v>6.1530028371593879</v>
      </c>
      <c r="AI244" s="51">
        <f t="shared" si="231"/>
        <v>-1.4075499513397689</v>
      </c>
      <c r="AJ244" s="51" t="str">
        <f t="shared" si="212"/>
        <v>1+0.0202373263259561i</v>
      </c>
      <c r="AK244" s="51">
        <f t="shared" si="232"/>
        <v>1.0002047537263674</v>
      </c>
      <c r="AL244" s="51">
        <f t="shared" si="233"/>
        <v>2.023456427651326E-2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1.63074604228969+3.81109463789241i</v>
      </c>
      <c r="BG244" s="66">
        <f t="shared" si="249"/>
        <v>12.351185773482737</v>
      </c>
      <c r="BH244" s="63">
        <f t="shared" si="250"/>
        <v>66.834189264880479</v>
      </c>
      <c r="BI244" s="60" t="e">
        <f t="shared" si="255"/>
        <v>#NUM!</v>
      </c>
      <c r="BJ244" s="66" t="e">
        <f t="shared" si="251"/>
        <v>#NUM!</v>
      </c>
      <c r="BK244" s="63" t="e">
        <f t="shared" si="256"/>
        <v>#NUM!</v>
      </c>
      <c r="BL244" s="51">
        <f t="shared" si="252"/>
        <v>12.351185773482737</v>
      </c>
      <c r="BM244" s="63">
        <f t="shared" si="253"/>
        <v>66.834189264880479</v>
      </c>
    </row>
    <row r="245" spans="14:65" x14ac:dyDescent="0.3">
      <c r="N245" s="11">
        <v>27</v>
      </c>
      <c r="O245" s="52">
        <f t="shared" si="254"/>
        <v>1862.0871366628687</v>
      </c>
      <c r="P245" s="50" t="str">
        <f t="shared" si="206"/>
        <v>23.3035714285714</v>
      </c>
      <c r="Q245" s="18" t="str">
        <f t="shared" si="207"/>
        <v>1+4.43758161682494i</v>
      </c>
      <c r="R245" s="18">
        <f t="shared" si="218"/>
        <v>4.5488603634297951</v>
      </c>
      <c r="S245" s="18">
        <f t="shared" si="219"/>
        <v>1.3491507082265404</v>
      </c>
      <c r="T245" s="18" t="str">
        <f t="shared" si="208"/>
        <v>1+0.0207087142118497i</v>
      </c>
      <c r="U245" s="18">
        <f t="shared" si="220"/>
        <v>1.0002144024379513</v>
      </c>
      <c r="V245" s="18">
        <f t="shared" si="221"/>
        <v>2.0705754656812229E-2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1.01693271250967-5.02381516278195i</v>
      </c>
      <c r="AD245" s="66">
        <f t="shared" si="227"/>
        <v>14.195075323069513</v>
      </c>
      <c r="AE245" s="63">
        <f t="shared" si="228"/>
        <v>-78.556674923423273</v>
      </c>
      <c r="AF245" s="51" t="e">
        <f t="shared" si="229"/>
        <v>#NUM!</v>
      </c>
      <c r="AG245" s="51" t="str">
        <f t="shared" si="211"/>
        <v>1-6.21261426355493i</v>
      </c>
      <c r="AH245" s="51">
        <f t="shared" si="230"/>
        <v>6.2925810275058174</v>
      </c>
      <c r="AI245" s="51">
        <f t="shared" si="231"/>
        <v>-1.411202404927079</v>
      </c>
      <c r="AJ245" s="51" t="str">
        <f t="shared" si="212"/>
        <v>1+0.0207087142118497i</v>
      </c>
      <c r="AK245" s="51">
        <f t="shared" si="232"/>
        <v>1.0002144024379513</v>
      </c>
      <c r="AL245" s="51">
        <f t="shared" si="233"/>
        <v>2.0705754656812229E-2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1.5781440674859+3.71085744458577i</v>
      </c>
      <c r="BG245" s="66">
        <f t="shared" si="249"/>
        <v>12.111472944639095</v>
      </c>
      <c r="BH245" s="63">
        <f t="shared" si="250"/>
        <v>66.961043681006672</v>
      </c>
      <c r="BI245" s="60" t="e">
        <f t="shared" si="255"/>
        <v>#NUM!</v>
      </c>
      <c r="BJ245" s="66" t="e">
        <f t="shared" si="251"/>
        <v>#NUM!</v>
      </c>
      <c r="BK245" s="63" t="e">
        <f t="shared" si="256"/>
        <v>#NUM!</v>
      </c>
      <c r="BL245" s="51">
        <f t="shared" si="252"/>
        <v>12.111472944639095</v>
      </c>
      <c r="BM245" s="63">
        <f t="shared" si="253"/>
        <v>66.961043681006672</v>
      </c>
    </row>
    <row r="246" spans="14:65" x14ac:dyDescent="0.3">
      <c r="N246" s="11">
        <v>28</v>
      </c>
      <c r="O246" s="52">
        <f t="shared" si="254"/>
        <v>1905.4607179632501</v>
      </c>
      <c r="P246" s="50" t="str">
        <f t="shared" si="206"/>
        <v>23.3035714285714</v>
      </c>
      <c r="Q246" s="18" t="str">
        <f t="shared" si="207"/>
        <v>1+4.5409461711709i</v>
      </c>
      <c r="R246" s="18">
        <f t="shared" si="218"/>
        <v>4.6497518352565494</v>
      </c>
      <c r="S246" s="18">
        <f t="shared" si="219"/>
        <v>1.3540376929924789</v>
      </c>
      <c r="T246" s="18" t="str">
        <f t="shared" si="208"/>
        <v>1+0.0211910821321309i</v>
      </c>
      <c r="U246" s="18">
        <f t="shared" si="220"/>
        <v>1.0002245057795427</v>
      </c>
      <c r="V246" s="18">
        <f t="shared" si="221"/>
        <v>2.1187910950215466E-2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0.968350354849944-4.92023002597063i</v>
      </c>
      <c r="AD246" s="66">
        <f t="shared" si="227"/>
        <v>14.004752309144283</v>
      </c>
      <c r="AE246" s="63">
        <f t="shared" si="228"/>
        <v>-78.865919944016412</v>
      </c>
      <c r="AF246" s="51" t="e">
        <f t="shared" si="229"/>
        <v>#NUM!</v>
      </c>
      <c r="AG246" s="51" t="str">
        <f t="shared" si="211"/>
        <v>1-6.35732463963927i</v>
      </c>
      <c r="AH246" s="51">
        <f t="shared" si="230"/>
        <v>6.4354934988518613</v>
      </c>
      <c r="AI246" s="51">
        <f t="shared" si="231"/>
        <v>-1.4147758731464515</v>
      </c>
      <c r="AJ246" s="51" t="str">
        <f t="shared" si="212"/>
        <v>1+0.0211910821321309i</v>
      </c>
      <c r="AK246" s="51">
        <f t="shared" si="232"/>
        <v>1.0002245057795427</v>
      </c>
      <c r="AL246" s="51">
        <f t="shared" si="233"/>
        <v>2.1187910950215466E-2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1.5276717307994+3.61360407489714i</v>
      </c>
      <c r="BG246" s="66">
        <f t="shared" si="249"/>
        <v>11.872926655934052</v>
      </c>
      <c r="BH246" s="63">
        <f t="shared" si="250"/>
        <v>67.083511752621632</v>
      </c>
      <c r="BI246" s="60" t="e">
        <f t="shared" si="255"/>
        <v>#NUM!</v>
      </c>
      <c r="BJ246" s="66" t="e">
        <f t="shared" si="251"/>
        <v>#NUM!</v>
      </c>
      <c r="BK246" s="63" t="e">
        <f t="shared" si="256"/>
        <v>#NUM!</v>
      </c>
      <c r="BL246" s="51">
        <f t="shared" si="252"/>
        <v>11.872926655934052</v>
      </c>
      <c r="BM246" s="63">
        <f t="shared" si="253"/>
        <v>67.083511752621632</v>
      </c>
    </row>
    <row r="247" spans="14:65" x14ac:dyDescent="0.3">
      <c r="N247" s="11">
        <v>29</v>
      </c>
      <c r="O247" s="52">
        <f t="shared" si="254"/>
        <v>1949.8445997580463</v>
      </c>
      <c r="P247" s="50" t="str">
        <f t="shared" si="206"/>
        <v>23.3035714285714</v>
      </c>
      <c r="Q247" s="18" t="str">
        <f t="shared" si="207"/>
        <v>1+4.64671839528327i</v>
      </c>
      <c r="R247" s="18">
        <f t="shared" si="218"/>
        <v>4.7531033909503719</v>
      </c>
      <c r="S247" s="18">
        <f t="shared" si="219"/>
        <v>1.3588236220711276</v>
      </c>
      <c r="T247" s="18" t="str">
        <f t="shared" si="208"/>
        <v>1+0.0216846858446553i</v>
      </c>
      <c r="U247" s="18">
        <f t="shared" si="220"/>
        <v>1.0002350851675728</v>
      </c>
      <c r="V247" s="18">
        <f t="shared" si="221"/>
        <v>2.1681287905143998E-2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0.921756333975004-4.81833301928375i</v>
      </c>
      <c r="AD247" s="66">
        <f t="shared" si="227"/>
        <v>13.814033317165199</v>
      </c>
      <c r="AE247" s="63">
        <f t="shared" si="228"/>
        <v>-79.170054922902395</v>
      </c>
      <c r="AF247" s="51" t="e">
        <f t="shared" si="229"/>
        <v>#NUM!</v>
      </c>
      <c r="AG247" s="51" t="str">
        <f t="shared" si="211"/>
        <v>1-6.5054057533966i</v>
      </c>
      <c r="AH247" s="51">
        <f t="shared" si="230"/>
        <v>6.5818161639721895</v>
      </c>
      <c r="AI247" s="51">
        <f t="shared" si="231"/>
        <v>-1.4182718854554102</v>
      </c>
      <c r="AJ247" s="51" t="str">
        <f t="shared" si="212"/>
        <v>1+0.0216846858446553i</v>
      </c>
      <c r="AK247" s="51">
        <f t="shared" si="232"/>
        <v>1.0002350851675728</v>
      </c>
      <c r="AL247" s="51">
        <f t="shared" si="233"/>
        <v>2.1681287905143998E-2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1.47925085424029+3.51922153294346i</v>
      </c>
      <c r="BG247" s="66">
        <f t="shared" si="249"/>
        <v>11.635520429997124</v>
      </c>
      <c r="BH247" s="63">
        <f t="shared" si="250"/>
        <v>67.201295887421054</v>
      </c>
      <c r="BI247" s="60" t="e">
        <f t="shared" si="255"/>
        <v>#NUM!</v>
      </c>
      <c r="BJ247" s="66" t="e">
        <f t="shared" si="251"/>
        <v>#NUM!</v>
      </c>
      <c r="BK247" s="63" t="e">
        <f t="shared" si="256"/>
        <v>#NUM!</v>
      </c>
      <c r="BL247" s="51">
        <f t="shared" si="252"/>
        <v>11.635520429997124</v>
      </c>
      <c r="BM247" s="63">
        <f t="shared" si="253"/>
        <v>67.201295887421054</v>
      </c>
    </row>
    <row r="248" spans="14:65" x14ac:dyDescent="0.3">
      <c r="N248" s="11">
        <v>30</v>
      </c>
      <c r="O248" s="52">
        <f t="shared" si="254"/>
        <v>1995.2623149688804</v>
      </c>
      <c r="P248" s="50" t="str">
        <f t="shared" si="206"/>
        <v>23.3035714285714</v>
      </c>
      <c r="Q248" s="18" t="str">
        <f t="shared" si="207"/>
        <v>1+4.75495437099545i</v>
      </c>
      <c r="R248" s="18">
        <f t="shared" si="218"/>
        <v>4.8589701656059523</v>
      </c>
      <c r="S248" s="18">
        <f t="shared" si="219"/>
        <v>1.3635101556440015</v>
      </c>
      <c r="T248" s="18" t="str">
        <f t="shared" si="208"/>
        <v>1+0.0221897870646454i</v>
      </c>
      <c r="U248" s="18">
        <f t="shared" si="220"/>
        <v>1.0002461630268693</v>
      </c>
      <c r="V248" s="18">
        <f t="shared" si="221"/>
        <v>2.2186146155253859E-2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0.877077454284639-4.71812617266181i</v>
      </c>
      <c r="AD248" s="66">
        <f t="shared" si="227"/>
        <v>13.622935502854371</v>
      </c>
      <c r="AE248" s="63">
        <f t="shared" si="228"/>
        <v>-79.469190742856313</v>
      </c>
      <c r="AF248" s="51" t="e">
        <f t="shared" si="229"/>
        <v>#NUM!</v>
      </c>
      <c r="AG248" s="51" t="str">
        <f t="shared" si="211"/>
        <v>1-6.65693611939365i</v>
      </c>
      <c r="AH248" s="51">
        <f t="shared" si="230"/>
        <v>6.7316267348752916</v>
      </c>
      <c r="AI248" s="51">
        <f t="shared" si="231"/>
        <v>-1.4216919534815318</v>
      </c>
      <c r="AJ248" s="51" t="str">
        <f t="shared" si="212"/>
        <v>1+0.0221897870646454i</v>
      </c>
      <c r="AK248" s="51">
        <f t="shared" si="232"/>
        <v>1.0002461630268693</v>
      </c>
      <c r="AL248" s="51">
        <f t="shared" si="233"/>
        <v>2.2186146155253859E-2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1.4328052990046+3.42760183044671i</v>
      </c>
      <c r="BG248" s="66">
        <f t="shared" si="249"/>
        <v>11.399226814921001</v>
      </c>
      <c r="BH248" s="63">
        <f t="shared" si="250"/>
        <v>67.314108621329581</v>
      </c>
      <c r="BI248" s="60" t="e">
        <f t="shared" si="255"/>
        <v>#NUM!</v>
      </c>
      <c r="BJ248" s="66" t="e">
        <f t="shared" si="251"/>
        <v>#NUM!</v>
      </c>
      <c r="BK248" s="63" t="e">
        <f t="shared" si="256"/>
        <v>#NUM!</v>
      </c>
      <c r="BL248" s="51">
        <f t="shared" si="252"/>
        <v>11.399226814921001</v>
      </c>
      <c r="BM248" s="63">
        <f t="shared" si="253"/>
        <v>67.314108621329581</v>
      </c>
    </row>
    <row r="249" spans="14:65" x14ac:dyDescent="0.3">
      <c r="N249" s="11">
        <v>31</v>
      </c>
      <c r="O249" s="52">
        <f t="shared" si="254"/>
        <v>2041.7379446695318</v>
      </c>
      <c r="P249" s="50" t="str">
        <f t="shared" si="206"/>
        <v>23.3035714285714</v>
      </c>
      <c r="Q249" s="18" t="str">
        <f t="shared" si="207"/>
        <v>1+4.86571148645437i</v>
      </c>
      <c r="R249" s="18">
        <f t="shared" si="218"/>
        <v>4.9674086070519703</v>
      </c>
      <c r="S249" s="18">
        <f t="shared" si="219"/>
        <v>1.3680989547255786</v>
      </c>
      <c r="T249" s="18" t="str">
        <f t="shared" si="208"/>
        <v>1+0.0227066536034537i</v>
      </c>
      <c r="U249" s="18">
        <f t="shared" si="220"/>
        <v>1.0002577628380933</v>
      </c>
      <c r="V249" s="18">
        <f t="shared" si="221"/>
        <v>2.2702752353047952E-2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0.834242518365318-4.61960921754453i</v>
      </c>
      <c r="AD249" s="66">
        <f t="shared" si="227"/>
        <v>13.431475428298366</v>
      </c>
      <c r="AE249" s="63">
        <f t="shared" si="228"/>
        <v>-79.763438695915909</v>
      </c>
      <c r="AF249" s="51" t="e">
        <f t="shared" si="229"/>
        <v>#NUM!</v>
      </c>
      <c r="AG249" s="51" t="str">
        <f t="shared" si="211"/>
        <v>1-6.81199608103613i</v>
      </c>
      <c r="AH249" s="51">
        <f t="shared" si="230"/>
        <v>6.8850047645627388</v>
      </c>
      <c r="AI249" s="51">
        <f t="shared" si="231"/>
        <v>-1.4250375703924254</v>
      </c>
      <c r="AJ249" s="51" t="str">
        <f t="shared" si="212"/>
        <v>1+0.0227066536034537i</v>
      </c>
      <c r="AK249" s="51">
        <f t="shared" si="232"/>
        <v>1.0002577628380933</v>
      </c>
      <c r="AL249" s="51">
        <f t="shared" si="233"/>
        <v>2.2702752353047952E-2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1.38826098071187+3.33864175940624i</v>
      </c>
      <c r="BG249" s="66">
        <f t="shared" si="249"/>
        <v>11.164017488544172</v>
      </c>
      <c r="BH249" s="63">
        <f t="shared" si="250"/>
        <v>67.421672533478315</v>
      </c>
      <c r="BI249" s="60" t="e">
        <f t="shared" si="255"/>
        <v>#NUM!</v>
      </c>
      <c r="BJ249" s="66" t="e">
        <f t="shared" si="251"/>
        <v>#NUM!</v>
      </c>
      <c r="BK249" s="63" t="e">
        <f t="shared" si="256"/>
        <v>#NUM!</v>
      </c>
      <c r="BL249" s="51">
        <f t="shared" si="252"/>
        <v>11.164017488544172</v>
      </c>
      <c r="BM249" s="63">
        <f t="shared" si="253"/>
        <v>67.421672533478315</v>
      </c>
    </row>
    <row r="250" spans="14:65" x14ac:dyDescent="0.3">
      <c r="N250" s="11">
        <v>32</v>
      </c>
      <c r="O250" s="52">
        <f t="shared" si="254"/>
        <v>2089.2961308540398</v>
      </c>
      <c r="P250" s="50" t="str">
        <f t="shared" si="206"/>
        <v>23.3035714285714</v>
      </c>
      <c r="Q250" s="18" t="str">
        <f t="shared" si="207"/>
        <v>1+4.97904846654876i</v>
      </c>
      <c r="R250" s="18">
        <f t="shared" si="218"/>
        <v>5.0784765070089239</v>
      </c>
      <c r="S250" s="18">
        <f t="shared" si="219"/>
        <v>1.3725916789816659</v>
      </c>
      <c r="T250" s="18" t="str">
        <f t="shared" si="208"/>
        <v>1+0.0232355595105609i</v>
      </c>
      <c r="U250" s="18">
        <f t="shared" si="220"/>
        <v>1.0002699091873997</v>
      </c>
      <c r="V250" s="18">
        <f t="shared" si="221"/>
        <v>2.3231379306355521E-2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0.793182334533302-4.52277974600409i</v>
      </c>
      <c r="AD250" s="66">
        <f t="shared" si="227"/>
        <v>13.239669080124305</v>
      </c>
      <c r="AE250" s="63">
        <f t="shared" si="228"/>
        <v>-80.052910366405882</v>
      </c>
      <c r="AF250" s="51" t="e">
        <f t="shared" si="229"/>
        <v>#NUM!</v>
      </c>
      <c r="AG250" s="51" t="str">
        <f t="shared" si="211"/>
        <v>1-6.97066785316828i</v>
      </c>
      <c r="AH250" s="51">
        <f t="shared" si="230"/>
        <v>7.0420316897322799</v>
      </c>
      <c r="AI250" s="51">
        <f t="shared" si="231"/>
        <v>-1.4283102103391307</v>
      </c>
      <c r="AJ250" s="51" t="str">
        <f t="shared" si="212"/>
        <v>1+0.0232355595105609i</v>
      </c>
      <c r="AK250" s="51">
        <f t="shared" si="232"/>
        <v>1.0002699091873997</v>
      </c>
      <c r="AL250" s="51">
        <f t="shared" si="233"/>
        <v>2.3231379306355521E-2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1.34554587664245+3.2522426729239i</v>
      </c>
      <c r="BG250" s="66">
        <f t="shared" si="249"/>
        <v>10.92986335823271</v>
      </c>
      <c r="BH250" s="63">
        <f t="shared" si="250"/>
        <v>67.523720120444821</v>
      </c>
      <c r="BI250" s="60" t="e">
        <f t="shared" si="255"/>
        <v>#NUM!</v>
      </c>
      <c r="BJ250" s="66" t="e">
        <f t="shared" si="251"/>
        <v>#NUM!</v>
      </c>
      <c r="BK250" s="63" t="e">
        <f t="shared" si="256"/>
        <v>#NUM!</v>
      </c>
      <c r="BL250" s="51">
        <f t="shared" si="252"/>
        <v>10.92986335823271</v>
      </c>
      <c r="BM250" s="63">
        <f t="shared" si="253"/>
        <v>67.523720120444821</v>
      </c>
    </row>
    <row r="251" spans="14:65" x14ac:dyDescent="0.3">
      <c r="N251" s="11">
        <v>33</v>
      </c>
      <c r="O251" s="52">
        <f t="shared" si="254"/>
        <v>2137.9620895022344</v>
      </c>
      <c r="P251" s="50" t="str">
        <f t="shared" si="206"/>
        <v>23.3035714285714</v>
      </c>
      <c r="Q251" s="18" t="str">
        <f t="shared" si="207"/>
        <v>1+5.09502540404556i</v>
      </c>
      <c r="R251" s="18">
        <f t="shared" si="218"/>
        <v>5.1922330328934221</v>
      </c>
      <c r="S251" s="18">
        <f t="shared" si="219"/>
        <v>1.376989984700919</v>
      </c>
      <c r="T251" s="18" t="str">
        <f t="shared" si="208"/>
        <v>1+0.0237767852188793i</v>
      </c>
      <c r="U251" s="18">
        <f t="shared" si="220"/>
        <v>1.0002826278184305</v>
      </c>
      <c r="V251" s="18">
        <f t="shared" si="221"/>
        <v>2.3772306117723154E-2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0.753829717390064-4.42763336321786i</v>
      </c>
      <c r="AD251" s="66">
        <f t="shared" si="227"/>
        <v>13.047531887761055</v>
      </c>
      <c r="AE251" s="63">
        <f t="shared" si="228"/>
        <v>-80.337717522896014</v>
      </c>
      <c r="AF251" s="51" t="e">
        <f t="shared" si="229"/>
        <v>#NUM!</v>
      </c>
      <c r="AG251" s="51" t="str">
        <f t="shared" si="211"/>
        <v>1-7.13303556566381i</v>
      </c>
      <c r="AH251" s="51">
        <f t="shared" si="230"/>
        <v>7.2027908744475448</v>
      </c>
      <c r="AI251" s="51">
        <f t="shared" si="231"/>
        <v>-1.4315113279682998</v>
      </c>
      <c r="AJ251" s="51" t="str">
        <f t="shared" si="212"/>
        <v>1+0.0237767852188793i</v>
      </c>
      <c r="AK251" s="51">
        <f t="shared" si="232"/>
        <v>1.0002826278184305</v>
      </c>
      <c r="AL251" s="51">
        <f t="shared" si="233"/>
        <v>2.3772306117723154E-2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1.30459002572278+3.1683102742021i</v>
      </c>
      <c r="BG251" s="66">
        <f t="shared" si="249"/>
        <v>10.696734655879531</v>
      </c>
      <c r="BH251" s="63">
        <f t="shared" si="250"/>
        <v>67.619993633397243</v>
      </c>
      <c r="BI251" s="60" t="e">
        <f t="shared" si="255"/>
        <v>#NUM!</v>
      </c>
      <c r="BJ251" s="66" t="e">
        <f t="shared" si="251"/>
        <v>#NUM!</v>
      </c>
      <c r="BK251" s="63" t="e">
        <f t="shared" si="256"/>
        <v>#NUM!</v>
      </c>
      <c r="BL251" s="51">
        <f t="shared" si="252"/>
        <v>10.696734655879531</v>
      </c>
      <c r="BM251" s="63">
        <f t="shared" si="253"/>
        <v>67.619993633397243</v>
      </c>
    </row>
    <row r="252" spans="14:65" x14ac:dyDescent="0.3">
      <c r="N252" s="11">
        <v>34</v>
      </c>
      <c r="O252" s="52">
        <f t="shared" si="254"/>
        <v>2187.7616239495528</v>
      </c>
      <c r="P252" s="50" t="str">
        <f t="shared" si="206"/>
        <v>23.3035714285714</v>
      </c>
      <c r="Q252" s="18" t="str">
        <f t="shared" si="207"/>
        <v>1+5.21370379145225i</v>
      </c>
      <c r="R252" s="18">
        <f t="shared" si="218"/>
        <v>5.3087387602898275</v>
      </c>
      <c r="S252" s="18">
        <f t="shared" si="219"/>
        <v>1.3812955229130184</v>
      </c>
      <c r="T252" s="18" t="str">
        <f t="shared" si="208"/>
        <v>1+0.0243306176934438i</v>
      </c>
      <c r="U252" s="18">
        <f t="shared" si="220"/>
        <v>1.0002959456867475</v>
      </c>
      <c r="V252" s="18">
        <f t="shared" si="221"/>
        <v>2.4325818326771716E-2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0.716119482071718-4.33416383327703i</v>
      </c>
      <c r="AD252" s="66">
        <f t="shared" si="227"/>
        <v>12.855078741728638</v>
      </c>
      <c r="AE252" s="63">
        <f t="shared" si="228"/>
        <v>-80.617972018722597</v>
      </c>
      <c r="AF252" s="51" t="e">
        <f t="shared" si="229"/>
        <v>#NUM!</v>
      </c>
      <c r="AG252" s="51" t="str">
        <f t="shared" si="211"/>
        <v>1-7.29918530803316i</v>
      </c>
      <c r="AH252" s="51">
        <f t="shared" si="230"/>
        <v>7.3673676548009421</v>
      </c>
      <c r="AI252" s="51">
        <f t="shared" si="231"/>
        <v>-1.4346423579988052</v>
      </c>
      <c r="AJ252" s="51" t="str">
        <f t="shared" si="212"/>
        <v>1+0.0243306176934438i</v>
      </c>
      <c r="AK252" s="51">
        <f t="shared" si="232"/>
        <v>1.0002959456867475</v>
      </c>
      <c r="AL252" s="51">
        <f t="shared" si="233"/>
        <v>2.4325818326771716E-2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1.26532552196514+3.08675441369048i</v>
      </c>
      <c r="BG252" s="66">
        <f t="shared" si="249"/>
        <v>10.464601027892506</v>
      </c>
      <c r="BH252" s="63">
        <f t="shared" si="250"/>
        <v>67.710244881788185</v>
      </c>
      <c r="BI252" s="60" t="e">
        <f t="shared" si="255"/>
        <v>#NUM!</v>
      </c>
      <c r="BJ252" s="66" t="e">
        <f t="shared" si="251"/>
        <v>#NUM!</v>
      </c>
      <c r="BK252" s="63" t="e">
        <f t="shared" si="256"/>
        <v>#NUM!</v>
      </c>
      <c r="BL252" s="51">
        <f t="shared" si="252"/>
        <v>10.464601027892506</v>
      </c>
      <c r="BM252" s="63">
        <f t="shared" si="253"/>
        <v>67.710244881788185</v>
      </c>
    </row>
    <row r="253" spans="14:65" x14ac:dyDescent="0.3">
      <c r="N253" s="11">
        <v>35</v>
      </c>
      <c r="O253" s="52">
        <f t="shared" si="254"/>
        <v>2238.7211385683418</v>
      </c>
      <c r="P253" s="50" t="str">
        <f t="shared" si="206"/>
        <v>23.3035714285714</v>
      </c>
      <c r="Q253" s="18" t="str">
        <f t="shared" si="207"/>
        <v>1+5.3351465536207i</v>
      </c>
      <c r="R253" s="18">
        <f t="shared" si="218"/>
        <v>5.4280557061079291</v>
      </c>
      <c r="S253" s="18">
        <f t="shared" si="219"/>
        <v>1.3855099376469133</v>
      </c>
      <c r="T253" s="18" t="str">
        <f t="shared" si="208"/>
        <v>1+0.0248973505835633i</v>
      </c>
      <c r="U253" s="18">
        <f t="shared" si="220"/>
        <v>1.0003098910168193</v>
      </c>
      <c r="V253" s="18">
        <f t="shared" si="221"/>
        <v>2.4892208055561939E-2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0.679988432835343-4.24236321836796i</v>
      </c>
      <c r="AD253" s="66">
        <f t="shared" si="227"/>
        <v>12.662324011909902</v>
      </c>
      <c r="AE253" s="63">
        <f t="shared" si="228"/>
        <v>-80.893785700696526</v>
      </c>
      <c r="AF253" s="51" t="e">
        <f t="shared" si="229"/>
        <v>#NUM!</v>
      </c>
      <c r="AG253" s="51" t="str">
        <f t="shared" si="211"/>
        <v>1-7.46920517506899i</v>
      </c>
      <c r="AH253" s="51">
        <f t="shared" si="230"/>
        <v>7.5358493845934422</v>
      </c>
      <c r="AI253" s="51">
        <f t="shared" si="231"/>
        <v>-1.4377047148585456</v>
      </c>
      <c r="AJ253" s="51" t="str">
        <f t="shared" si="212"/>
        <v>1+0.0248973505835633i</v>
      </c>
      <c r="AK253" s="51">
        <f t="shared" si="232"/>
        <v>1.0003098910168193</v>
      </c>
      <c r="AL253" s="51">
        <f t="shared" si="233"/>
        <v>2.4892208055561939E-2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1.22768650202746+3.00748889431917i</v>
      </c>
      <c r="BG253" s="66">
        <f t="shared" si="249"/>
        <v>10.233431619996642</v>
      </c>
      <c r="BH253" s="63">
        <f t="shared" si="250"/>
        <v>67.79423500721218</v>
      </c>
      <c r="BI253" s="60" t="e">
        <f t="shared" si="255"/>
        <v>#NUM!</v>
      </c>
      <c r="BJ253" s="66" t="e">
        <f t="shared" si="251"/>
        <v>#NUM!</v>
      </c>
      <c r="BK253" s="63" t="e">
        <f t="shared" si="256"/>
        <v>#NUM!</v>
      </c>
      <c r="BL253" s="51">
        <f t="shared" si="252"/>
        <v>10.233431619996642</v>
      </c>
      <c r="BM253" s="63">
        <f t="shared" si="253"/>
        <v>67.79423500721218</v>
      </c>
    </row>
    <row r="254" spans="14:65" x14ac:dyDescent="0.3">
      <c r="N254" s="11">
        <v>36</v>
      </c>
      <c r="O254" s="52">
        <f t="shared" si="254"/>
        <v>2290.8676527677749</v>
      </c>
      <c r="P254" s="50" t="str">
        <f t="shared" si="206"/>
        <v>23.3035714285714</v>
      </c>
      <c r="Q254" s="18" t="str">
        <f t="shared" si="207"/>
        <v>1+5.45941808111087i</v>
      </c>
      <c r="R254" s="18">
        <f t="shared" si="218"/>
        <v>5.550247362447938</v>
      </c>
      <c r="S254" s="18">
        <f t="shared" si="219"/>
        <v>1.3896348643226855</v>
      </c>
      <c r="T254" s="18" t="str">
        <f t="shared" si="208"/>
        <v>1+0.0254772843785174i</v>
      </c>
      <c r="U254" s="18">
        <f t="shared" si="220"/>
        <v>1.0003244933616811</v>
      </c>
      <c r="V254" s="18">
        <f t="shared" si="221"/>
        <v>2.547177415702153E-2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0.645375346584499-4.15222201139308i</v>
      </c>
      <c r="AD254" s="66">
        <f t="shared" si="227"/>
        <v>12.469281565758701</v>
      </c>
      <c r="AE254" s="63">
        <f t="shared" si="228"/>
        <v>-81.165270325631255</v>
      </c>
      <c r="AF254" s="51" t="e">
        <f t="shared" si="229"/>
        <v>#NUM!</v>
      </c>
      <c r="AG254" s="51" t="str">
        <f t="shared" si="211"/>
        <v>1-7.64318531355524i</v>
      </c>
      <c r="AH254" s="51">
        <f t="shared" si="230"/>
        <v>7.7083254820581173</v>
      </c>
      <c r="AI254" s="51">
        <f t="shared" si="231"/>
        <v>-1.4406997923774671</v>
      </c>
      <c r="AJ254" s="51" t="str">
        <f t="shared" si="212"/>
        <v>1+0.0254772843785174i</v>
      </c>
      <c r="AK254" s="51">
        <f t="shared" si="232"/>
        <v>1.0003244933616811</v>
      </c>
      <c r="AL254" s="51">
        <f t="shared" si="233"/>
        <v>2.547177415702153E-2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1.19160912751785+2.93043128472318i</v>
      </c>
      <c r="BG254" s="66">
        <f t="shared" si="249"/>
        <v>10.003195156724434</v>
      </c>
      <c r="BH254" s="63">
        <f t="shared" si="250"/>
        <v>67.87173423097984</v>
      </c>
      <c r="BI254" s="60" t="e">
        <f t="shared" si="255"/>
        <v>#NUM!</v>
      </c>
      <c r="BJ254" s="66" t="e">
        <f t="shared" si="251"/>
        <v>#NUM!</v>
      </c>
      <c r="BK254" s="63" t="e">
        <f t="shared" si="256"/>
        <v>#NUM!</v>
      </c>
      <c r="BL254" s="51">
        <f t="shared" si="252"/>
        <v>10.003195156724434</v>
      </c>
      <c r="BM254" s="63">
        <f t="shared" si="253"/>
        <v>67.87173423097984</v>
      </c>
    </row>
    <row r="255" spans="14:65" x14ac:dyDescent="0.3">
      <c r="N255" s="11">
        <v>37</v>
      </c>
      <c r="O255" s="52">
        <f t="shared" si="254"/>
        <v>2344.2288153199238</v>
      </c>
      <c r="P255" s="50" t="str">
        <f t="shared" si="206"/>
        <v>23.3035714285714</v>
      </c>
      <c r="Q255" s="18" t="str">
        <f t="shared" si="207"/>
        <v>1+5.5865842643316i</v>
      </c>
      <c r="R255" s="18">
        <f t="shared" si="218"/>
        <v>5.6753787311929624</v>
      </c>
      <c r="S255" s="18">
        <f t="shared" si="219"/>
        <v>1.3936719282706118</v>
      </c>
      <c r="T255" s="18" t="str">
        <f t="shared" si="208"/>
        <v>1+0.0260707265668808i</v>
      </c>
      <c r="U255" s="18">
        <f t="shared" si="220"/>
        <v>1.0003397836653929</v>
      </c>
      <c r="V255" s="18">
        <f t="shared" si="221"/>
        <v>2.6064822366481614E-2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0.612220951898066-4.06372926212828i</v>
      </c>
      <c r="AD255" s="66">
        <f t="shared" si="227"/>
        <v>12.27596478640756</v>
      </c>
      <c r="AE255" s="63">
        <f t="shared" si="228"/>
        <v>-81.432537484322793</v>
      </c>
      <c r="AF255" s="51" t="e">
        <f t="shared" si="229"/>
        <v>#NUM!</v>
      </c>
      <c r="AG255" s="51" t="str">
        <f t="shared" si="211"/>
        <v>1-7.82121797006426i</v>
      </c>
      <c r="AH255" s="51">
        <f t="shared" si="230"/>
        <v>7.8848874776534448</v>
      </c>
      <c r="AI255" s="51">
        <f t="shared" si="231"/>
        <v>-1.4436289635329946</v>
      </c>
      <c r="AJ255" s="51" t="str">
        <f t="shared" si="212"/>
        <v>1+0.0260707265668808i</v>
      </c>
      <c r="AK255" s="51">
        <f t="shared" si="232"/>
        <v>1.0003397836653929</v>
      </c>
      <c r="AL255" s="51">
        <f t="shared" si="233"/>
        <v>2.6064822366481614E-2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1.15703156262816+2.85550274033388i</v>
      </c>
      <c r="BG255" s="66">
        <f t="shared" si="249"/>
        <v>9.7738600155141864</v>
      </c>
      <c r="BH255" s="63">
        <f t="shared" si="250"/>
        <v>67.942521578879209</v>
      </c>
      <c r="BI255" s="60" t="e">
        <f t="shared" si="255"/>
        <v>#NUM!</v>
      </c>
      <c r="BJ255" s="66" t="e">
        <f t="shared" si="251"/>
        <v>#NUM!</v>
      </c>
      <c r="BK255" s="63" t="e">
        <f t="shared" si="256"/>
        <v>#NUM!</v>
      </c>
      <c r="BL255" s="51">
        <f t="shared" si="252"/>
        <v>9.7738600155141864</v>
      </c>
      <c r="BM255" s="63">
        <f t="shared" si="253"/>
        <v>67.942521578879209</v>
      </c>
    </row>
    <row r="256" spans="14:65" x14ac:dyDescent="0.3">
      <c r="N256" s="11">
        <v>38</v>
      </c>
      <c r="O256" s="52">
        <f t="shared" si="254"/>
        <v>2398.8329190194918</v>
      </c>
      <c r="P256" s="50" t="str">
        <f t="shared" si="206"/>
        <v>23.3035714285714</v>
      </c>
      <c r="Q256" s="18" t="str">
        <f t="shared" si="207"/>
        <v>1+5.71671252847645i</v>
      </c>
      <c r="R256" s="18">
        <f t="shared" si="218"/>
        <v>5.8035163593497012</v>
      </c>
      <c r="S256" s="18">
        <f t="shared" si="219"/>
        <v>1.3976227433711232</v>
      </c>
      <c r="T256" s="18" t="str">
        <f t="shared" si="208"/>
        <v>1+0.0266779917995568i</v>
      </c>
      <c r="U256" s="18">
        <f t="shared" si="220"/>
        <v>1.0003557943284265</v>
      </c>
      <c r="V256" s="18">
        <f t="shared" si="221"/>
        <v>2.6671665456367216E-2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0.58046790408822-3.97687269703734i</v>
      </c>
      <c r="AD256" s="66">
        <f t="shared" si="227"/>
        <v>12.082386590641702</v>
      </c>
      <c r="AE256" s="63">
        <f t="shared" si="228"/>
        <v>-81.695698532622814</v>
      </c>
      <c r="AF256" s="51" t="e">
        <f t="shared" si="229"/>
        <v>#NUM!</v>
      </c>
      <c r="AG256" s="51" t="str">
        <f t="shared" si="211"/>
        <v>1-8.00339753986704i</v>
      </c>
      <c r="AH256" s="51">
        <f t="shared" si="230"/>
        <v>8.0656290629528584</v>
      </c>
      <c r="AI256" s="51">
        <f t="shared" si="231"/>
        <v>-1.4464935802442391</v>
      </c>
      <c r="AJ256" s="51" t="str">
        <f t="shared" si="212"/>
        <v>1+0.0266779917995568i</v>
      </c>
      <c r="AK256" s="51">
        <f t="shared" si="232"/>
        <v>1.0003557943284265</v>
      </c>
      <c r="AL256" s="51">
        <f t="shared" si="233"/>
        <v>2.6671665456367216E-2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1.123893947642+2.78262783218967i</v>
      </c>
      <c r="BG256" s="66">
        <f t="shared" si="249"/>
        <v>9.5453942953801949</v>
      </c>
      <c r="BH256" s="63">
        <f t="shared" si="250"/>
        <v>68.006384586484629</v>
      </c>
      <c r="BI256" s="60" t="e">
        <f t="shared" si="255"/>
        <v>#NUM!</v>
      </c>
      <c r="BJ256" s="66" t="e">
        <f t="shared" si="251"/>
        <v>#NUM!</v>
      </c>
      <c r="BK256" s="63" t="e">
        <f t="shared" si="256"/>
        <v>#NUM!</v>
      </c>
      <c r="BL256" s="51">
        <f t="shared" si="252"/>
        <v>9.5453942953801949</v>
      </c>
      <c r="BM256" s="63">
        <f t="shared" si="253"/>
        <v>68.006384586484629</v>
      </c>
    </row>
    <row r="257" spans="14:65" x14ac:dyDescent="0.3">
      <c r="N257" s="11">
        <v>39</v>
      </c>
      <c r="O257" s="52">
        <f t="shared" si="254"/>
        <v>2454.7089156850338</v>
      </c>
      <c r="P257" s="50" t="str">
        <f t="shared" si="206"/>
        <v>23.3035714285714</v>
      </c>
      <c r="Q257" s="18" t="str">
        <f t="shared" si="207"/>
        <v>1+5.84987186927352i</v>
      </c>
      <c r="R257" s="18">
        <f t="shared" si="218"/>
        <v>5.9347283751590236</v>
      </c>
      <c r="S257" s="18">
        <f t="shared" si="219"/>
        <v>1.4014889108095041</v>
      </c>
      <c r="T257" s="18" t="str">
        <f t="shared" si="208"/>
        <v>1+0.0272994020566098i</v>
      </c>
      <c r="U257" s="18">
        <f t="shared" si="220"/>
        <v>1.0003725592761172</v>
      </c>
      <c r="V257" s="18">
        <f t="shared" si="221"/>
        <v>2.7292623394092049E-2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0.550060756776322-3.89163883288369i</v>
      </c>
      <c r="AD257" s="66">
        <f t="shared" si="227"/>
        <v>11.888559446709674</v>
      </c>
      <c r="AE257" s="63">
        <f t="shared" si="228"/>
        <v>-81.954864529252959</v>
      </c>
      <c r="AF257" s="51" t="e">
        <f t="shared" si="229"/>
        <v>#NUM!</v>
      </c>
      <c r="AG257" s="51" t="str">
        <f t="shared" si="211"/>
        <v>1-8.18982061698295i</v>
      </c>
      <c r="AH257" s="51">
        <f t="shared" si="230"/>
        <v>8.2506461406582545</v>
      </c>
      <c r="AI257" s="51">
        <f t="shared" si="231"/>
        <v>-1.4492949732115623</v>
      </c>
      <c r="AJ257" s="51" t="str">
        <f t="shared" si="212"/>
        <v>1+0.0272994020566098i</v>
      </c>
      <c r="AK257" s="51">
        <f t="shared" si="232"/>
        <v>1.0003725592761172</v>
      </c>
      <c r="AL257" s="51">
        <f t="shared" si="233"/>
        <v>2.7292623394092049E-2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1.09213836882422+2.71173438329734i</v>
      </c>
      <c r="BG257" s="66">
        <f t="shared" si="249"/>
        <v>9.3177658801567844</v>
      </c>
      <c r="BH257" s="63">
        <f t="shared" si="250"/>
        <v>68.063118988251588</v>
      </c>
      <c r="BI257" s="60" t="e">
        <f t="shared" si="255"/>
        <v>#NUM!</v>
      </c>
      <c r="BJ257" s="66" t="e">
        <f t="shared" si="251"/>
        <v>#NUM!</v>
      </c>
      <c r="BK257" s="63" t="e">
        <f t="shared" si="256"/>
        <v>#NUM!</v>
      </c>
      <c r="BL257" s="51">
        <f t="shared" si="252"/>
        <v>9.3177658801567844</v>
      </c>
      <c r="BM257" s="63">
        <f t="shared" si="253"/>
        <v>68.063118988251588</v>
      </c>
    </row>
    <row r="258" spans="14:65" x14ac:dyDescent="0.3">
      <c r="N258" s="11">
        <v>40</v>
      </c>
      <c r="O258" s="52">
        <f t="shared" si="254"/>
        <v>2511.8864315095811</v>
      </c>
      <c r="P258" s="50" t="str">
        <f t="shared" si="206"/>
        <v>23.3035714285714</v>
      </c>
      <c r="Q258" s="18" t="str">
        <f t="shared" si="207"/>
        <v>1+5.98613288956794i</v>
      </c>
      <c r="R258" s="18">
        <f t="shared" si="218"/>
        <v>6.0690845249977379</v>
      </c>
      <c r="S258" s="18">
        <f t="shared" si="219"/>
        <v>1.4052720179392997</v>
      </c>
      <c r="T258" s="18" t="str">
        <f t="shared" si="208"/>
        <v>1+0.0279352868179837i</v>
      </c>
      <c r="U258" s="18">
        <f t="shared" si="220"/>
        <v>1.0003901140303231</v>
      </c>
      <c r="V258" s="18">
        <f t="shared" si="221"/>
        <v>2.7928023503202365E-2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0.520945930440042-3.80801308429723i</v>
      </c>
      <c r="AD258" s="66">
        <f t="shared" si="227"/>
        <v>11.6944953919461</v>
      </c>
      <c r="AE258" s="63">
        <f t="shared" si="228"/>
        <v>-82.210146180015272</v>
      </c>
      <c r="AF258" s="51" t="e">
        <f t="shared" si="229"/>
        <v>#NUM!</v>
      </c>
      <c r="AG258" s="51" t="str">
        <f t="shared" si="211"/>
        <v>1-8.38058604539513i</v>
      </c>
      <c r="AH258" s="51">
        <f t="shared" si="230"/>
        <v>8.4400368757649158</v>
      </c>
      <c r="AI258" s="51">
        <f t="shared" si="231"/>
        <v>-1.4520344517982309</v>
      </c>
      <c r="AJ258" s="51" t="str">
        <f t="shared" si="212"/>
        <v>1+0.0279352868179837i</v>
      </c>
      <c r="AK258" s="51">
        <f t="shared" si="232"/>
        <v>1.0003901140303231</v>
      </c>
      <c r="AL258" s="51">
        <f t="shared" si="233"/>
        <v>2.7928023503202365E-2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1.06170882516192+2.64275331235878i</v>
      </c>
      <c r="BG258" s="66">
        <f t="shared" si="249"/>
        <v>9.0909424963532359</v>
      </c>
      <c r="BH258" s="63">
        <f t="shared" si="250"/>
        <v>68.112528393499403</v>
      </c>
      <c r="BI258" s="60" t="e">
        <f t="shared" si="255"/>
        <v>#NUM!</v>
      </c>
      <c r="BJ258" s="66" t="e">
        <f t="shared" si="251"/>
        <v>#NUM!</v>
      </c>
      <c r="BK258" s="63" t="e">
        <f t="shared" si="256"/>
        <v>#NUM!</v>
      </c>
      <c r="BL258" s="51">
        <f t="shared" si="252"/>
        <v>9.0909424963532359</v>
      </c>
      <c r="BM258" s="63">
        <f t="shared" si="253"/>
        <v>68.112528393499403</v>
      </c>
    </row>
    <row r="259" spans="14:65" x14ac:dyDescent="0.3">
      <c r="N259" s="11">
        <v>41</v>
      </c>
      <c r="O259" s="52">
        <f t="shared" si="254"/>
        <v>2570.3957827688669</v>
      </c>
      <c r="P259" s="50" t="str">
        <f t="shared" si="206"/>
        <v>23.3035714285714</v>
      </c>
      <c r="Q259" s="18" t="str">
        <f t="shared" si="207"/>
        <v>1+6.12556783675619i</v>
      </c>
      <c r="R259" s="18">
        <f t="shared" si="218"/>
        <v>6.2066562110932084</v>
      </c>
      <c r="S259" s="18">
        <f t="shared" si="219"/>
        <v>1.4089736372485673</v>
      </c>
      <c r="T259" s="18" t="str">
        <f t="shared" si="208"/>
        <v>1+0.0285859832381956i</v>
      </c>
      <c r="U259" s="18">
        <f t="shared" si="220"/>
        <v>1.0004084957844441</v>
      </c>
      <c r="V259" s="18">
        <f t="shared" si="221"/>
        <v>2.8578200627813879E-2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0.493071678350625-3.72597986546755i</v>
      </c>
      <c r="AD259" s="66">
        <f t="shared" si="227"/>
        <v>11.500206050185902</v>
      </c>
      <c r="AE259" s="63">
        <f t="shared" si="228"/>
        <v>-82.461653788063856</v>
      </c>
      <c r="AF259" s="51" t="e">
        <f t="shared" si="229"/>
        <v>#NUM!</v>
      </c>
      <c r="AG259" s="51" t="str">
        <f t="shared" si="211"/>
        <v>1-8.57579497145869i</v>
      </c>
      <c r="AH259" s="51">
        <f t="shared" si="230"/>
        <v>8.6339017479061084</v>
      </c>
      <c r="AI259" s="51">
        <f t="shared" si="231"/>
        <v>-1.4547133039510782</v>
      </c>
      <c r="AJ259" s="51" t="str">
        <f t="shared" si="212"/>
        <v>1+0.0285859832381956i</v>
      </c>
      <c r="AK259" s="51">
        <f t="shared" si="232"/>
        <v>1.0004084957844441</v>
      </c>
      <c r="AL259" s="51">
        <f t="shared" si="233"/>
        <v>2.8578200627813879E-2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1.03255119239236+2.57561848466448i</v>
      </c>
      <c r="BG259" s="66">
        <f t="shared" si="249"/>
        <v>8.8648917656901318</v>
      </c>
      <c r="BH259" s="63">
        <f t="shared" si="250"/>
        <v>68.154423952223098</v>
      </c>
      <c r="BI259" s="60" t="e">
        <f t="shared" si="255"/>
        <v>#NUM!</v>
      </c>
      <c r="BJ259" s="66" t="e">
        <f t="shared" si="251"/>
        <v>#NUM!</v>
      </c>
      <c r="BK259" s="63" t="e">
        <f t="shared" si="256"/>
        <v>#NUM!</v>
      </c>
      <c r="BL259" s="51">
        <f t="shared" si="252"/>
        <v>8.8648917656901318</v>
      </c>
      <c r="BM259" s="63">
        <f t="shared" si="253"/>
        <v>68.154423952223098</v>
      </c>
    </row>
    <row r="260" spans="14:65" x14ac:dyDescent="0.3">
      <c r="N260" s="11">
        <v>42</v>
      </c>
      <c r="O260" s="52">
        <f t="shared" si="254"/>
        <v>2630.2679918953822</v>
      </c>
      <c r="P260" s="50" t="str">
        <f t="shared" si="206"/>
        <v>23.3035714285714</v>
      </c>
      <c r="Q260" s="18" t="str">
        <f t="shared" si="207"/>
        <v>1+6.26825064109298i</v>
      </c>
      <c r="R260" s="18">
        <f t="shared" si="218"/>
        <v>6.3475165300739897</v>
      </c>
      <c r="S260" s="18">
        <f t="shared" si="219"/>
        <v>1.4125953254233043</v>
      </c>
      <c r="T260" s="18" t="str">
        <f t="shared" si="208"/>
        <v>1+0.0292518363251006i</v>
      </c>
      <c r="U260" s="18">
        <f t="shared" si="220"/>
        <v>1.000427743481952</v>
      </c>
      <c r="V260" s="18">
        <f t="shared" si="221"/>
        <v>2.9243497300389189E-2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0.466388050286264-3.64552268614536i</v>
      </c>
      <c r="AD260" s="66">
        <f t="shared" si="227"/>
        <v>11.305702648951662</v>
      </c>
      <c r="AE260" s="63">
        <f t="shared" si="228"/>
        <v>-82.709497209913479</v>
      </c>
      <c r="AF260" s="51" t="e">
        <f t="shared" si="229"/>
        <v>#NUM!</v>
      </c>
      <c r="AG260" s="51" t="str">
        <f t="shared" si="211"/>
        <v>1-8.7755508975302i</v>
      </c>
      <c r="AH260" s="51">
        <f t="shared" si="230"/>
        <v>8.832343604907086</v>
      </c>
      <c r="AI260" s="51">
        <f t="shared" si="231"/>
        <v>-1.4573327961572669</v>
      </c>
      <c r="AJ260" s="51" t="str">
        <f t="shared" si="212"/>
        <v>1+0.0292518363251006i</v>
      </c>
      <c r="AK260" s="51">
        <f t="shared" si="232"/>
        <v>1.000427743481952</v>
      </c>
      <c r="AL260" s="51">
        <f t="shared" si="233"/>
        <v>2.9243497300389189E-2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1.00461318471861+2.5102665699445i</v>
      </c>
      <c r="BG260" s="66">
        <f t="shared" si="249"/>
        <v>8.6395812524147804</v>
      </c>
      <c r="BH260" s="63">
        <f t="shared" si="250"/>
        <v>68.188624013528681</v>
      </c>
      <c r="BI260" s="60" t="e">
        <f t="shared" si="255"/>
        <v>#NUM!</v>
      </c>
      <c r="BJ260" s="66" t="e">
        <f t="shared" si="251"/>
        <v>#NUM!</v>
      </c>
      <c r="BK260" s="63" t="e">
        <f t="shared" si="256"/>
        <v>#NUM!</v>
      </c>
      <c r="BL260" s="51">
        <f t="shared" si="252"/>
        <v>8.6395812524147804</v>
      </c>
      <c r="BM260" s="63">
        <f t="shared" si="253"/>
        <v>68.188624013528681</v>
      </c>
    </row>
    <row r="261" spans="14:65" x14ac:dyDescent="0.3">
      <c r="N261" s="11">
        <v>43</v>
      </c>
      <c r="O261" s="52">
        <f t="shared" si="254"/>
        <v>2691.5348039269184</v>
      </c>
      <c r="P261" s="50" t="str">
        <f t="shared" si="206"/>
        <v>23.3035714285714</v>
      </c>
      <c r="Q261" s="18" t="str">
        <f t="shared" si="207"/>
        <v>1+6.41425695488981i</v>
      </c>
      <c r="R261" s="18">
        <f t="shared" si="218"/>
        <v>6.4917403123778987</v>
      </c>
      <c r="S261" s="18">
        <f t="shared" si="219"/>
        <v>1.4161386225025225</v>
      </c>
      <c r="T261" s="18" t="str">
        <f t="shared" si="208"/>
        <v>1+0.0299331991228191i</v>
      </c>
      <c r="U261" s="18">
        <f t="shared" si="220"/>
        <v>1.0004478978985993</v>
      </c>
      <c r="V261" s="18">
        <f t="shared" si="221"/>
        <v>2.9924263912895162E-2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0.440846854376537-3.56662424214317i</v>
      </c>
      <c r="AD261" s="66">
        <f t="shared" si="227"/>
        <v>11.110996036401197</v>
      </c>
      <c r="AE261" s="63">
        <f t="shared" si="228"/>
        <v>-82.953785816868518</v>
      </c>
      <c r="AF261" s="51" t="e">
        <f t="shared" si="229"/>
        <v>#NUM!</v>
      </c>
      <c r="AG261" s="51" t="str">
        <f t="shared" si="211"/>
        <v>1-8.97995973684575i</v>
      </c>
      <c r="AH261" s="51">
        <f t="shared" si="230"/>
        <v>9.0354677175767044</v>
      </c>
      <c r="AI261" s="51">
        <f t="shared" si="231"/>
        <v>-1.4598941734343818</v>
      </c>
      <c r="AJ261" s="51" t="str">
        <f t="shared" si="212"/>
        <v>1+0.0299331991228191i</v>
      </c>
      <c r="AK261" s="51">
        <f t="shared" si="232"/>
        <v>1.0004478978985993</v>
      </c>
      <c r="AL261" s="51">
        <f t="shared" si="233"/>
        <v>2.9924263912895162E-2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0.977844314581882+2.44663690695915i</v>
      </c>
      <c r="BG261" s="66">
        <f t="shared" si="249"/>
        <v>8.4149785055174711</v>
      </c>
      <c r="BH261" s="63">
        <f t="shared" si="250"/>
        <v>68.214953779313049</v>
      </c>
      <c r="BI261" s="60" t="e">
        <f t="shared" si="255"/>
        <v>#NUM!</v>
      </c>
      <c r="BJ261" s="66" t="e">
        <f t="shared" si="251"/>
        <v>#NUM!</v>
      </c>
      <c r="BK261" s="63" t="e">
        <f t="shared" si="256"/>
        <v>#NUM!</v>
      </c>
      <c r="BL261" s="51">
        <f t="shared" si="252"/>
        <v>8.4149785055174711</v>
      </c>
      <c r="BM261" s="63">
        <f t="shared" si="253"/>
        <v>68.214953779313049</v>
      </c>
    </row>
    <row r="262" spans="14:65" x14ac:dyDescent="0.3">
      <c r="N262" s="11">
        <v>44</v>
      </c>
      <c r="O262" s="52">
        <f t="shared" si="254"/>
        <v>2754.228703338169</v>
      </c>
      <c r="P262" s="50" t="str">
        <f t="shared" si="206"/>
        <v>23.3035714285714</v>
      </c>
      <c r="Q262" s="18" t="str">
        <f t="shared" si="207"/>
        <v>1+6.56366419262684i</v>
      </c>
      <c r="R262" s="18">
        <f t="shared" si="218"/>
        <v>6.6394041625413758</v>
      </c>
      <c r="S262" s="18">
        <f t="shared" si="219"/>
        <v>1.4196050511196754</v>
      </c>
      <c r="T262" s="18" t="str">
        <f t="shared" si="208"/>
        <v>1+0.0306304328989253i</v>
      </c>
      <c r="U262" s="18">
        <f t="shared" si="220"/>
        <v>1.0004690017284772</v>
      </c>
      <c r="V262" s="18">
        <f t="shared" si="221"/>
        <v>3.0620858891383371E-2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0.416401617402906-3.48926650053168i</v>
      </c>
      <c r="AD262" s="66">
        <f t="shared" si="227"/>
        <v>10.916096698023662</v>
      </c>
      <c r="AE262" s="63">
        <f t="shared" si="228"/>
        <v>-83.194628461568684</v>
      </c>
      <c r="AF262" s="51" t="e">
        <f t="shared" si="229"/>
        <v>#NUM!</v>
      </c>
      <c r="AG262" s="51" t="str">
        <f t="shared" si="211"/>
        <v>1-9.1891298696776i</v>
      </c>
      <c r="AH262" s="51">
        <f t="shared" si="230"/>
        <v>9.243381835767746</v>
      </c>
      <c r="AI262" s="51">
        <f t="shared" si="231"/>
        <v>-1.4623986593512683</v>
      </c>
      <c r="AJ262" s="51" t="str">
        <f t="shared" si="212"/>
        <v>1+0.0306304328989253i</v>
      </c>
      <c r="AK262" s="51">
        <f t="shared" si="232"/>
        <v>1.0004690017284772</v>
      </c>
      <c r="AL262" s="51">
        <f t="shared" si="233"/>
        <v>3.0620858891383371E-2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0.952195850829126+2.3846713746066i</v>
      </c>
      <c r="BG262" s="66">
        <f t="shared" si="249"/>
        <v>8.1910510959940623</v>
      </c>
      <c r="BH262" s="63">
        <f t="shared" si="250"/>
        <v>68.233244955644167</v>
      </c>
      <c r="BI262" s="60" t="e">
        <f t="shared" si="255"/>
        <v>#NUM!</v>
      </c>
      <c r="BJ262" s="66" t="e">
        <f t="shared" si="251"/>
        <v>#NUM!</v>
      </c>
      <c r="BK262" s="63" t="e">
        <f t="shared" si="256"/>
        <v>#NUM!</v>
      </c>
      <c r="BL262" s="51">
        <f t="shared" si="252"/>
        <v>8.1910510959940623</v>
      </c>
      <c r="BM262" s="63">
        <f t="shared" si="253"/>
        <v>68.233244955644167</v>
      </c>
    </row>
    <row r="263" spans="14:65" x14ac:dyDescent="0.3">
      <c r="N263" s="11">
        <v>45</v>
      </c>
      <c r="O263" s="52">
        <f t="shared" si="254"/>
        <v>2818.3829312644561</v>
      </c>
      <c r="P263" s="50" t="str">
        <f t="shared" si="206"/>
        <v>23.3035714285714</v>
      </c>
      <c r="Q263" s="18" t="str">
        <f t="shared" si="207"/>
        <v>1+6.71655157199916i</v>
      </c>
      <c r="R263" s="18">
        <f t="shared" si="218"/>
        <v>6.7905865003933492</v>
      </c>
      <c r="S263" s="18">
        <f t="shared" si="219"/>
        <v>1.4229961158253173</v>
      </c>
      <c r="T263" s="18" t="str">
        <f t="shared" si="208"/>
        <v>1+0.0313439073359961i</v>
      </c>
      <c r="U263" s="18">
        <f t="shared" si="220"/>
        <v>1.0004910996740988</v>
      </c>
      <c r="V263" s="18">
        <f t="shared" si="221"/>
        <v>3.1333648874033372E-2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0.393007543852202-3.41343077973253i</v>
      </c>
      <c r="AD263" s="66">
        <f t="shared" si="227"/>
        <v>10.721014773075252</v>
      </c>
      <c r="AE263" s="63">
        <f t="shared" si="228"/>
        <v>-83.43213344935829</v>
      </c>
      <c r="AF263" s="51" t="e">
        <f t="shared" si="229"/>
        <v>#NUM!</v>
      </c>
      <c r="AG263" s="51" t="str">
        <f t="shared" si="211"/>
        <v>1-9.40317220079885i</v>
      </c>
      <c r="AH263" s="51">
        <f t="shared" si="230"/>
        <v>9.4561962457362458</v>
      </c>
      <c r="AI263" s="51">
        <f t="shared" si="231"/>
        <v>-1.4648474560771594</v>
      </c>
      <c r="AJ263" s="51" t="str">
        <f t="shared" si="212"/>
        <v>1+0.0313439073359961i</v>
      </c>
      <c r="AK263" s="51">
        <f t="shared" si="232"/>
        <v>1.0004910996740988</v>
      </c>
      <c r="AL263" s="51">
        <f t="shared" si="233"/>
        <v>3.1333648874033372E-2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0.927620775585159+2.3243142693201i</v>
      </c>
      <c r="BG263" s="66">
        <f t="shared" si="249"/>
        <v>7.9677666493157284</v>
      </c>
      <c r="BH263" s="63">
        <f t="shared" si="250"/>
        <v>68.243335404129922</v>
      </c>
      <c r="BI263" s="60" t="e">
        <f t="shared" si="255"/>
        <v>#NUM!</v>
      </c>
      <c r="BJ263" s="66" t="e">
        <f t="shared" si="251"/>
        <v>#NUM!</v>
      </c>
      <c r="BK263" s="63" t="e">
        <f t="shared" si="256"/>
        <v>#NUM!</v>
      </c>
      <c r="BL263" s="51">
        <f t="shared" si="252"/>
        <v>7.9677666493157284</v>
      </c>
      <c r="BM263" s="63">
        <f t="shared" si="253"/>
        <v>68.243335404129922</v>
      </c>
    </row>
    <row r="264" spans="14:65" x14ac:dyDescent="0.3">
      <c r="N264" s="11">
        <v>46</v>
      </c>
      <c r="O264" s="52">
        <f t="shared" si="254"/>
        <v>2884.0315031266077</v>
      </c>
      <c r="P264" s="50" t="str">
        <f t="shared" si="206"/>
        <v>23.3035714285714</v>
      </c>
      <c r="Q264" s="18" t="str">
        <f t="shared" si="207"/>
        <v>1+6.87300015591903i</v>
      </c>
      <c r="R264" s="18">
        <f t="shared" si="218"/>
        <v>6.9453676031771705</v>
      </c>
      <c r="S264" s="18">
        <f t="shared" si="219"/>
        <v>1.4263133024860708</v>
      </c>
      <c r="T264" s="18" t="str">
        <f t="shared" si="208"/>
        <v>1+0.0320740007276221i</v>
      </c>
      <c r="U264" s="18">
        <f t="shared" si="220"/>
        <v>1.0005142385406993</v>
      </c>
      <c r="V264" s="18">
        <f t="shared" si="221"/>
        <v>3.2063008892696768E-2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0.370621473993664-3.33909782471145i</v>
      </c>
      <c r="AD264" s="66">
        <f t="shared" si="227"/>
        <v>10.525760070750604</v>
      </c>
      <c r="AE264" s="63">
        <f t="shared" si="228"/>
        <v>-83.666408514196405</v>
      </c>
      <c r="AF264" s="51" t="e">
        <f t="shared" si="229"/>
        <v>#NUM!</v>
      </c>
      <c r="AG264" s="51" t="str">
        <f t="shared" si="211"/>
        <v>1-9.62220021828666i</v>
      </c>
      <c r="AH264" s="51">
        <f t="shared" si="230"/>
        <v>9.6740238288313005</v>
      </c>
      <c r="AI264" s="51">
        <f t="shared" si="231"/>
        <v>-1.4672417444567869</v>
      </c>
      <c r="AJ264" s="51" t="str">
        <f t="shared" si="212"/>
        <v>1+0.0320740007276221i</v>
      </c>
      <c r="AK264" s="51">
        <f t="shared" si="232"/>
        <v>1.0005142385406993</v>
      </c>
      <c r="AL264" s="51">
        <f t="shared" si="233"/>
        <v>3.2063008892696768E-2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0.904073740111994+2.26551218852632i</v>
      </c>
      <c r="BG264" s="66">
        <f t="shared" si="249"/>
        <v>7.7450928732849569</v>
      </c>
      <c r="BH264" s="63">
        <f t="shared" si="250"/>
        <v>68.245068795391035</v>
      </c>
      <c r="BI264" s="60" t="e">
        <f t="shared" si="255"/>
        <v>#NUM!</v>
      </c>
      <c r="BJ264" s="66" t="e">
        <f t="shared" si="251"/>
        <v>#NUM!</v>
      </c>
      <c r="BK264" s="63" t="e">
        <f t="shared" si="256"/>
        <v>#NUM!</v>
      </c>
      <c r="BL264" s="51">
        <f t="shared" si="252"/>
        <v>7.7450928732849569</v>
      </c>
      <c r="BM264" s="63">
        <f t="shared" si="253"/>
        <v>68.245068795391035</v>
      </c>
    </row>
    <row r="265" spans="14:65" x14ac:dyDescent="0.3">
      <c r="N265" s="11">
        <v>47</v>
      </c>
      <c r="O265" s="52">
        <f t="shared" si="254"/>
        <v>2951.2092266663876</v>
      </c>
      <c r="P265" s="50" t="str">
        <f t="shared" si="206"/>
        <v>23.3035714285714</v>
      </c>
      <c r="Q265" s="18" t="str">
        <f t="shared" si="207"/>
        <v>1+7.03309289549646i</v>
      </c>
      <c r="R265" s="18">
        <f t="shared" si="218"/>
        <v>7.1038296486249424</v>
      </c>
      <c r="S265" s="18">
        <f t="shared" si="219"/>
        <v>1.4295580777551902</v>
      </c>
      <c r="T265" s="18" t="str">
        <f t="shared" si="208"/>
        <v>1+0.0328211001789835i</v>
      </c>
      <c r="U265" s="18">
        <f t="shared" si="220"/>
        <v>1.000538467334944</v>
      </c>
      <c r="V265" s="18">
        <f t="shared" si="221"/>
        <v>3.2809322557976667E-2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0.349201841224981-3.26624787747525i</v>
      </c>
      <c r="AD265" s="66">
        <f t="shared" si="227"/>
        <v>10.330342086084558</v>
      </c>
      <c r="AE265" s="63">
        <f t="shared" si="228"/>
        <v>-83.897560798836381</v>
      </c>
      <c r="AF265" s="51" t="e">
        <f t="shared" si="229"/>
        <v>#NUM!</v>
      </c>
      <c r="AG265" s="51" t="str">
        <f t="shared" si="211"/>
        <v>1-9.84633005369507i</v>
      </c>
      <c r="AH265" s="51">
        <f t="shared" si="230"/>
        <v>9.8969801215471147</v>
      </c>
      <c r="AI265" s="51">
        <f t="shared" si="231"/>
        <v>-1.4695826841093056</v>
      </c>
      <c r="AJ265" s="51" t="str">
        <f t="shared" si="212"/>
        <v>1+0.0328211001789835i</v>
      </c>
      <c r="AK265" s="51">
        <f t="shared" si="232"/>
        <v>1.000538467334944</v>
      </c>
      <c r="AL265" s="51">
        <f t="shared" si="233"/>
        <v>3.2809322557976667E-2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0.881511019911725+2.20821391993521i</v>
      </c>
      <c r="BG265" s="66">
        <f t="shared" si="249"/>
        <v>7.5229975814661785</v>
      </c>
      <c r="BH265" s="63">
        <f t="shared" si="250"/>
        <v>68.238294266598601</v>
      </c>
      <c r="BI265" s="60" t="e">
        <f t="shared" si="255"/>
        <v>#NUM!</v>
      </c>
      <c r="BJ265" s="66" t="e">
        <f t="shared" si="251"/>
        <v>#NUM!</v>
      </c>
      <c r="BK265" s="63" t="e">
        <f t="shared" si="256"/>
        <v>#NUM!</v>
      </c>
      <c r="BL265" s="51">
        <f t="shared" si="252"/>
        <v>7.5229975814661785</v>
      </c>
      <c r="BM265" s="63">
        <f t="shared" si="253"/>
        <v>68.238294266598601</v>
      </c>
    </row>
    <row r="266" spans="14:65" x14ac:dyDescent="0.3">
      <c r="N266" s="11">
        <v>48</v>
      </c>
      <c r="O266" s="52">
        <f t="shared" si="254"/>
        <v>3019.9517204020176</v>
      </c>
      <c r="P266" s="50" t="str">
        <f t="shared" si="206"/>
        <v>23.3035714285714</v>
      </c>
      <c r="Q266" s="18" t="str">
        <f t="shared" si="207"/>
        <v>1+7.19691467402109i</v>
      </c>
      <c r="R266" s="18">
        <f t="shared" si="218"/>
        <v>7.2660567590089808</v>
      </c>
      <c r="S266" s="18">
        <f t="shared" si="219"/>
        <v>1.4327318886102012</v>
      </c>
      <c r="T266" s="18" t="str">
        <f t="shared" si="208"/>
        <v>1+0.0335856018120984i</v>
      </c>
      <c r="U266" s="18">
        <f t="shared" si="220"/>
        <v>1.0005638373682515</v>
      </c>
      <c r="V266" s="18">
        <f t="shared" si="221"/>
        <v>3.3572982247877074E-2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0.328708628909509-3.19486074307696i</v>
      </c>
      <c r="AD266" s="66">
        <f t="shared" si="227"/>
        <v>10.134770015584454</v>
      </c>
      <c r="AE266" s="63">
        <f t="shared" si="228"/>
        <v>-84.125696839015646</v>
      </c>
      <c r="AF266" s="51" t="e">
        <f t="shared" si="229"/>
        <v>#NUM!</v>
      </c>
      <c r="AG266" s="51" t="str">
        <f t="shared" si="211"/>
        <v>1-10.0756805436295i</v>
      </c>
      <c r="AH266" s="51">
        <f t="shared" si="230"/>
        <v>10.12518337697022</v>
      </c>
      <c r="AI266" s="51">
        <f t="shared" si="231"/>
        <v>-1.4718714135489952</v>
      </c>
      <c r="AJ266" s="51" t="str">
        <f t="shared" si="212"/>
        <v>1+0.0335856018120984i</v>
      </c>
      <c r="AK266" s="51">
        <f t="shared" si="232"/>
        <v>1.0005638373682515</v>
      </c>
      <c r="AL266" s="51">
        <f t="shared" si="233"/>
        <v>3.3572982247877074E-2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0.859890469306321+2.15237033643352i</v>
      </c>
      <c r="BG266" s="66">
        <f t="shared" si="249"/>
        <v>7.3014487123927143</v>
      </c>
      <c r="BH266" s="63">
        <f t="shared" si="250"/>
        <v>68.222866084864179</v>
      </c>
      <c r="BI266" s="60" t="e">
        <f t="shared" si="255"/>
        <v>#NUM!</v>
      </c>
      <c r="BJ266" s="66" t="e">
        <f t="shared" si="251"/>
        <v>#NUM!</v>
      </c>
      <c r="BK266" s="63" t="e">
        <f t="shared" si="256"/>
        <v>#NUM!</v>
      </c>
      <c r="BL266" s="51">
        <f t="shared" si="252"/>
        <v>7.3014487123927143</v>
      </c>
      <c r="BM266" s="63">
        <f t="shared" si="253"/>
        <v>68.222866084864179</v>
      </c>
    </row>
    <row r="267" spans="14:65" x14ac:dyDescent="0.3">
      <c r="N267" s="11">
        <v>49</v>
      </c>
      <c r="O267" s="52">
        <f t="shared" si="254"/>
        <v>3090.295432513592</v>
      </c>
      <c r="P267" s="50" t="str">
        <f t="shared" si="206"/>
        <v>23.3035714285714</v>
      </c>
      <c r="Q267" s="18" t="str">
        <f t="shared" si="207"/>
        <v>1+7.3645523519683i</v>
      </c>
      <c r="R267" s="18">
        <f t="shared" si="218"/>
        <v>7.4321350461951239</v>
      </c>
      <c r="S267" s="18">
        <f t="shared" si="219"/>
        <v>1.4358361619533002</v>
      </c>
      <c r="T267" s="18" t="str">
        <f t="shared" si="208"/>
        <v>1+0.0343679109758521i</v>
      </c>
      <c r="U267" s="18">
        <f t="shared" si="220"/>
        <v>1.0005904023649457</v>
      </c>
      <c r="V267" s="18">
        <f t="shared" si="221"/>
        <v>3.4354389300052655E-2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0.309103326905039-3.12491585133127i</v>
      </c>
      <c r="AD267" s="66">
        <f t="shared" si="227"/>
        <v>9.9390527725935609</v>
      </c>
      <c r="AE267" s="63">
        <f t="shared" si="228"/>
        <v>-84.350922551405773</v>
      </c>
      <c r="AF267" s="51" t="e">
        <f t="shared" si="229"/>
        <v>#NUM!</v>
      </c>
      <c r="AG267" s="51" t="str">
        <f t="shared" si="211"/>
        <v>1-10.3103732927556i</v>
      </c>
      <c r="AH267" s="51">
        <f t="shared" si="230"/>
        <v>10.358754627655197</v>
      </c>
      <c r="AI267" s="51">
        <f t="shared" si="231"/>
        <v>-1.4741090503258225</v>
      </c>
      <c r="AJ267" s="51" t="str">
        <f t="shared" si="212"/>
        <v>1+0.0343679109758521i</v>
      </c>
      <c r="AK267" s="51">
        <f t="shared" si="232"/>
        <v>1.0005904023649457</v>
      </c>
      <c r="AL267" s="51">
        <f t="shared" si="233"/>
        <v>3.4354389300052655E-2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0.839171475704641+2.09793429635564i</v>
      </c>
      <c r="BG267" s="66">
        <f t="shared" si="249"/>
        <v>7.0804143447564289</v>
      </c>
      <c r="BH267" s="63">
        <f t="shared" si="250"/>
        <v>68.198643318125932</v>
      </c>
      <c r="BI267" s="60" t="e">
        <f t="shared" si="255"/>
        <v>#NUM!</v>
      </c>
      <c r="BJ267" s="66" t="e">
        <f t="shared" si="251"/>
        <v>#NUM!</v>
      </c>
      <c r="BK267" s="63" t="e">
        <f t="shared" si="256"/>
        <v>#NUM!</v>
      </c>
      <c r="BL267" s="51">
        <f t="shared" si="252"/>
        <v>7.0804143447564289</v>
      </c>
      <c r="BM267" s="63">
        <f t="shared" si="253"/>
        <v>68.198643318125932</v>
      </c>
    </row>
    <row r="268" spans="14:65" x14ac:dyDescent="0.3">
      <c r="N268" s="11">
        <v>50</v>
      </c>
      <c r="O268" s="52">
        <f t="shared" si="254"/>
        <v>3162.2776601683804</v>
      </c>
      <c r="P268" s="50" t="str">
        <f t="shared" si="206"/>
        <v>23.3035714285714</v>
      </c>
      <c r="Q268" s="18" t="str">
        <f t="shared" si="207"/>
        <v>1+7.5360948130539i</v>
      </c>
      <c r="R268" s="18">
        <f t="shared" si="218"/>
        <v>7.6021526577238561</v>
      </c>
      <c r="S268" s="18">
        <f t="shared" si="219"/>
        <v>1.4388723042703948</v>
      </c>
      <c r="T268" s="18" t="str">
        <f t="shared" si="208"/>
        <v>1+0.0351684424609182i</v>
      </c>
      <c r="U268" s="18">
        <f t="shared" si="220"/>
        <v>1.00061821857546</v>
      </c>
      <c r="V268" s="18">
        <f t="shared" si="221"/>
        <v>3.5153954207685988E-2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0.29034888796397-3.05639231443963i</v>
      </c>
      <c r="AD268" s="66">
        <f t="shared" si="227"/>
        <v>9.7431990023875716</v>
      </c>
      <c r="AE268" s="63">
        <f t="shared" si="228"/>
        <v>-84.573343225085594</v>
      </c>
      <c r="AF268" s="51" t="e">
        <f t="shared" si="229"/>
        <v>#NUM!</v>
      </c>
      <c r="AG268" s="51" t="str">
        <f t="shared" si="211"/>
        <v>1-10.5505327382755i</v>
      </c>
      <c r="AH268" s="51">
        <f t="shared" si="230"/>
        <v>10.597817749962637</v>
      </c>
      <c r="AI268" s="51">
        <f t="shared" si="231"/>
        <v>-1.4762966911840711</v>
      </c>
      <c r="AJ268" s="51" t="str">
        <f t="shared" si="212"/>
        <v>1+0.0351684424609182i</v>
      </c>
      <c r="AK268" s="51">
        <f t="shared" si="232"/>
        <v>1.00061821857546</v>
      </c>
      <c r="AL268" s="51">
        <f t="shared" si="233"/>
        <v>3.5153954207685988E-2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0.819314913746652+2.04486054890899i</v>
      </c>
      <c r="BG268" s="66">
        <f t="shared" si="249"/>
        <v>6.8598627087939459</v>
      </c>
      <c r="BH268" s="63">
        <f t="shared" si="250"/>
        <v>68.165489515021591</v>
      </c>
      <c r="BI268" s="60" t="e">
        <f t="shared" si="255"/>
        <v>#NUM!</v>
      </c>
      <c r="BJ268" s="66" t="e">
        <f t="shared" si="251"/>
        <v>#NUM!</v>
      </c>
      <c r="BK268" s="63" t="e">
        <f t="shared" si="256"/>
        <v>#NUM!</v>
      </c>
      <c r="BL268" s="51">
        <f t="shared" si="252"/>
        <v>6.8598627087939459</v>
      </c>
      <c r="BM268" s="63">
        <f t="shared" si="253"/>
        <v>68.165489515021591</v>
      </c>
    </row>
    <row r="269" spans="14:65" x14ac:dyDescent="0.3">
      <c r="N269" s="11">
        <v>51</v>
      </c>
      <c r="O269" s="52">
        <f t="shared" si="254"/>
        <v>3235.9365692962833</v>
      </c>
      <c r="P269" s="50" t="str">
        <f t="shared" si="206"/>
        <v>23.3035714285714</v>
      </c>
      <c r="Q269" s="18" t="str">
        <f t="shared" si="207"/>
        <v>1+7.71163301136139i</v>
      </c>
      <c r="R269" s="18">
        <f t="shared" si="218"/>
        <v>7.7761998239447747</v>
      </c>
      <c r="S269" s="18">
        <f t="shared" si="219"/>
        <v>1.4418417013448575</v>
      </c>
      <c r="T269" s="18" t="str">
        <f t="shared" si="208"/>
        <v>1+0.0359876207196865i</v>
      </c>
      <c r="U269" s="18">
        <f t="shared" si="220"/>
        <v>1.0006473448948257</v>
      </c>
      <c r="V269" s="18">
        <f t="shared" si="221"/>
        <v>3.5972096819017876E-2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0.272409684165997-2.9892689807216i</v>
      </c>
      <c r="AD269" s="66">
        <f t="shared" si="227"/>
        <v>9.5472170970092591</v>
      </c>
      <c r="AE269" s="63">
        <f t="shared" si="228"/>
        <v>-84.793063516309488</v>
      </c>
      <c r="AF269" s="51" t="e">
        <f t="shared" si="229"/>
        <v>#NUM!</v>
      </c>
      <c r="AG269" s="51" t="str">
        <f t="shared" si="211"/>
        <v>1-10.796286215906i</v>
      </c>
      <c r="AH269" s="51">
        <f t="shared" si="230"/>
        <v>10.842499529894473</v>
      </c>
      <c r="AI269" s="51">
        <f t="shared" si="231"/>
        <v>-1.4784354122373553</v>
      </c>
      <c r="AJ269" s="51" t="str">
        <f t="shared" si="212"/>
        <v>1+0.0359876207196865i</v>
      </c>
      <c r="AK269" s="51">
        <f t="shared" si="232"/>
        <v>1.0006473448948257</v>
      </c>
      <c r="AL269" s="51">
        <f t="shared" si="233"/>
        <v>3.5972096819017876E-2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0.800283099495552+1.99310564453499i</v>
      </c>
      <c r="BG269" s="66">
        <f t="shared" si="249"/>
        <v>6.6397621940862255</v>
      </c>
      <c r="BH269" s="63">
        <f t="shared" si="250"/>
        <v>68.123272395097743</v>
      </c>
      <c r="BI269" s="60" t="e">
        <f t="shared" si="255"/>
        <v>#NUM!</v>
      </c>
      <c r="BJ269" s="66" t="e">
        <f t="shared" si="251"/>
        <v>#NUM!</v>
      </c>
      <c r="BK269" s="63" t="e">
        <f t="shared" si="256"/>
        <v>#NUM!</v>
      </c>
      <c r="BL269" s="51">
        <f t="shared" si="252"/>
        <v>6.6397621940862255</v>
      </c>
      <c r="BM269" s="63">
        <f t="shared" si="253"/>
        <v>68.123272395097743</v>
      </c>
    </row>
    <row r="270" spans="14:65" x14ac:dyDescent="0.3">
      <c r="N270" s="11">
        <v>52</v>
      </c>
      <c r="O270" s="52">
        <f t="shared" si="254"/>
        <v>3311.3112148259115</v>
      </c>
      <c r="P270" s="50" t="str">
        <f t="shared" si="206"/>
        <v>23.3035714285714</v>
      </c>
      <c r="Q270" s="18" t="str">
        <f t="shared" si="207"/>
        <v>1+7.89126001956707i</v>
      </c>
      <c r="R270" s="18">
        <f t="shared" si="218"/>
        <v>7.9543689062311955</v>
      </c>
      <c r="S270" s="18">
        <f t="shared" si="219"/>
        <v>1.4447457180222611</v>
      </c>
      <c r="T270" s="18" t="str">
        <f t="shared" si="208"/>
        <v>1+0.036825880091313i</v>
      </c>
      <c r="U270" s="18">
        <f t="shared" si="220"/>
        <v>1.0006778429866925</v>
      </c>
      <c r="V270" s="18">
        <f t="shared" si="221"/>
        <v>3.6809246540550039E-2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0.255251463526686-2.92352448464433i</v>
      </c>
      <c r="AD270" s="66">
        <f t="shared" si="227"/>
        <v>9.3511152098463626</v>
      </c>
      <c r="AE270" s="63">
        <f t="shared" si="228"/>
        <v>-85.010187446354195</v>
      </c>
      <c r="AF270" s="51" t="e">
        <f t="shared" si="229"/>
        <v>#NUM!</v>
      </c>
      <c r="AG270" s="51" t="str">
        <f t="shared" si="211"/>
        <v>1-11.0477640273939i</v>
      </c>
      <c r="AH270" s="51">
        <f t="shared" si="230"/>
        <v>11.092929730462494</v>
      </c>
      <c r="AI270" s="51">
        <f t="shared" si="231"/>
        <v>-1.4805262691584509</v>
      </c>
      <c r="AJ270" s="51" t="str">
        <f t="shared" si="212"/>
        <v>1+0.036825880091313i</v>
      </c>
      <c r="AK270" s="51">
        <f t="shared" si="232"/>
        <v>1.0006778429866925</v>
      </c>
      <c r="AL270" s="51">
        <f t="shared" si="233"/>
        <v>3.6809246540550039E-2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0.782039744830495+1.94262784999132i</v>
      </c>
      <c r="BG270" s="66">
        <f t="shared" si="249"/>
        <v>6.4200813539902137</v>
      </c>
      <c r="BH270" s="63">
        <f t="shared" si="250"/>
        <v>68.071863550577561</v>
      </c>
      <c r="BI270" s="60" t="e">
        <f t="shared" si="255"/>
        <v>#NUM!</v>
      </c>
      <c r="BJ270" s="66" t="e">
        <f t="shared" si="251"/>
        <v>#NUM!</v>
      </c>
      <c r="BK270" s="63" t="e">
        <f t="shared" si="256"/>
        <v>#NUM!</v>
      </c>
      <c r="BL270" s="51">
        <f t="shared" si="252"/>
        <v>6.4200813539902137</v>
      </c>
      <c r="BM270" s="63">
        <f t="shared" si="253"/>
        <v>68.071863550577561</v>
      </c>
    </row>
    <row r="271" spans="14:65" x14ac:dyDescent="0.3">
      <c r="N271" s="11">
        <v>53</v>
      </c>
      <c r="O271" s="52">
        <f t="shared" si="254"/>
        <v>3388.4415613920314</v>
      </c>
      <c r="P271" s="50" t="str">
        <f t="shared" si="206"/>
        <v>23.3035714285714</v>
      </c>
      <c r="Q271" s="18" t="str">
        <f t="shared" si="207"/>
        <v>1+8.07507107828827i</v>
      </c>
      <c r="R271" s="18">
        <f t="shared" si="218"/>
        <v>8.1367544463015271</v>
      </c>
      <c r="S271" s="18">
        <f t="shared" si="219"/>
        <v>1.4475856980225472</v>
      </c>
      <c r="T271" s="18" t="str">
        <f t="shared" si="208"/>
        <v>1+0.037683665032012i</v>
      </c>
      <c r="U271" s="18">
        <f t="shared" si="220"/>
        <v>1.0007097774131344</v>
      </c>
      <c r="V271" s="18">
        <f t="shared" si="221"/>
        <v>3.7665842543937809E-2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0.238841306909184-2.85913729333785i</v>
      </c>
      <c r="AD271" s="66">
        <f t="shared" si="227"/>
        <v>9.1549012699603711</v>
      </c>
      <c r="AE271" s="63">
        <f t="shared" si="228"/>
        <v>-85.224818402237375</v>
      </c>
      <c r="AF271" s="51" t="e">
        <f t="shared" si="229"/>
        <v>#NUM!</v>
      </c>
      <c r="AG271" s="51" t="str">
        <f t="shared" si="211"/>
        <v>1-11.3050995096036i</v>
      </c>
      <c r="AH271" s="51">
        <f t="shared" si="230"/>
        <v>11.349241160625656</v>
      </c>
      <c r="AI271" s="51">
        <f t="shared" si="231"/>
        <v>-1.4825702973824588</v>
      </c>
      <c r="AJ271" s="51" t="str">
        <f t="shared" si="212"/>
        <v>1+0.037683665032012i</v>
      </c>
      <c r="AK271" s="51">
        <f t="shared" si="232"/>
        <v>1.0007097774131344</v>
      </c>
      <c r="AL271" s="51">
        <f t="shared" si="233"/>
        <v>3.7665842543937809E-2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0.764549912176609+1.89338706794666i</v>
      </c>
      <c r="BG271" s="66">
        <f t="shared" si="249"/>
        <v>6.2007889069233926</v>
      </c>
      <c r="BH271" s="63">
        <f t="shared" si="250"/>
        <v>68.011138160777847</v>
      </c>
      <c r="BI271" s="60" t="e">
        <f t="shared" si="255"/>
        <v>#NUM!</v>
      </c>
      <c r="BJ271" s="66" t="e">
        <f t="shared" si="251"/>
        <v>#NUM!</v>
      </c>
      <c r="BK271" s="63" t="e">
        <f t="shared" si="256"/>
        <v>#NUM!</v>
      </c>
      <c r="BL271" s="51">
        <f t="shared" si="252"/>
        <v>6.2007889069233926</v>
      </c>
      <c r="BM271" s="63">
        <f t="shared" si="253"/>
        <v>68.011138160777847</v>
      </c>
    </row>
    <row r="272" spans="14:65" x14ac:dyDescent="0.3">
      <c r="N272" s="11">
        <v>54</v>
      </c>
      <c r="O272" s="52">
        <f t="shared" si="254"/>
        <v>3467.3685045253224</v>
      </c>
      <c r="P272" s="50" t="str">
        <f t="shared" si="206"/>
        <v>23.3035714285714</v>
      </c>
      <c r="Q272" s="18" t="str">
        <f t="shared" si="207"/>
        <v>1+8.26316364658138i</v>
      </c>
      <c r="R272" s="18">
        <f t="shared" si="218"/>
        <v>8.3234532166754001</v>
      </c>
      <c r="S272" s="18">
        <f t="shared" si="219"/>
        <v>1.4503629637962641</v>
      </c>
      <c r="T272" s="18" t="str">
        <f t="shared" si="208"/>
        <v>1+0.0385614303507131i</v>
      </c>
      <c r="U272" s="18">
        <f t="shared" si="220"/>
        <v>1.0007432157705056</v>
      </c>
      <c r="V272" s="18">
        <f t="shared" si="221"/>
        <v>3.8542333976585616E-2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0.223147585351194-2.7960857497783i</v>
      </c>
      <c r="AD272" s="66">
        <f t="shared" si="227"/>
        <v>8.958582996174</v>
      </c>
      <c r="AE272" s="63">
        <f t="shared" si="228"/>
        <v>-85.437059140111216</v>
      </c>
      <c r="AF272" s="51" t="e">
        <f t="shared" si="229"/>
        <v>#NUM!</v>
      </c>
      <c r="AG272" s="51" t="str">
        <f t="shared" si="211"/>
        <v>1-11.568429105214i</v>
      </c>
      <c r="AH272" s="51">
        <f t="shared" si="230"/>
        <v>11.611569745833782</v>
      </c>
      <c r="AI272" s="51">
        <f t="shared" si="231"/>
        <v>-1.4845685123219385</v>
      </c>
      <c r="AJ272" s="51" t="str">
        <f t="shared" si="212"/>
        <v>1+0.0385614303507131i</v>
      </c>
      <c r="AK272" s="51">
        <f t="shared" si="232"/>
        <v>1.0007432157705056</v>
      </c>
      <c r="AL272" s="51">
        <f t="shared" si="233"/>
        <v>3.8542333976585616E-2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0.747779969693446+1.84534476088442i</v>
      </c>
      <c r="BG272" s="66">
        <f t="shared" si="249"/>
        <v>5.9818537347196532</v>
      </c>
      <c r="BH272" s="63">
        <f t="shared" si="250"/>
        <v>67.940974720159005</v>
      </c>
      <c r="BI272" s="60" t="e">
        <f t="shared" si="255"/>
        <v>#NUM!</v>
      </c>
      <c r="BJ272" s="66" t="e">
        <f t="shared" si="251"/>
        <v>#NUM!</v>
      </c>
      <c r="BK272" s="63" t="e">
        <f t="shared" si="256"/>
        <v>#NUM!</v>
      </c>
      <c r="BL272" s="51">
        <f t="shared" si="252"/>
        <v>5.9818537347196532</v>
      </c>
      <c r="BM272" s="63">
        <f t="shared" si="253"/>
        <v>67.940974720159005</v>
      </c>
    </row>
    <row r="273" spans="14:65" x14ac:dyDescent="0.3">
      <c r="N273" s="11">
        <v>55</v>
      </c>
      <c r="O273" s="52">
        <f t="shared" si="254"/>
        <v>3548.1338923357539</v>
      </c>
      <c r="P273" s="50" t="str">
        <f t="shared" si="206"/>
        <v>23.3035714285714</v>
      </c>
      <c r="Q273" s="18" t="str">
        <f t="shared" si="207"/>
        <v>1+8.45563745361577i</v>
      </c>
      <c r="R273" s="18">
        <f t="shared" si="218"/>
        <v>8.5145642722919064</v>
      </c>
      <c r="S273" s="18">
        <f t="shared" si="219"/>
        <v>1.4530788164216806</v>
      </c>
      <c r="T273" s="18" t="str">
        <f t="shared" si="208"/>
        <v>1+0.0394596414502069i</v>
      </c>
      <c r="U273" s="18">
        <f t="shared" si="220"/>
        <v>1.0007782288316323</v>
      </c>
      <c r="V273" s="18">
        <f t="shared" si="221"/>
        <v>3.9439180175952E-2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0.208139917905618-2.7343481128159i</v>
      </c>
      <c r="AD273" s="66">
        <f t="shared" si="227"/>
        <v>8.7621679109267276</v>
      </c>
      <c r="AE273" s="63">
        <f t="shared" si="228"/>
        <v>-85.647011791143214</v>
      </c>
      <c r="AF273" s="51" t="e">
        <f t="shared" si="229"/>
        <v>#NUM!</v>
      </c>
      <c r="AG273" s="51" t="str">
        <f t="shared" si="211"/>
        <v>1-11.8378924350621i</v>
      </c>
      <c r="AH273" s="51">
        <f t="shared" si="230"/>
        <v>11.880054600215461</v>
      </c>
      <c r="AI273" s="51">
        <f t="shared" si="231"/>
        <v>-1.4865219095927176</v>
      </c>
      <c r="AJ273" s="51" t="str">
        <f t="shared" si="212"/>
        <v>1+0.0394596414502069i</v>
      </c>
      <c r="AK273" s="51">
        <f t="shared" si="232"/>
        <v>1.0007782288316323</v>
      </c>
      <c r="AL273" s="51">
        <f t="shared" si="233"/>
        <v>3.9439180175952E-2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0.731697547029546+1.79846387911816i</v>
      </c>
      <c r="BG273" s="66">
        <f t="shared" si="249"/>
        <v>5.7632448782746204</v>
      </c>
      <c r="BH273" s="63">
        <f t="shared" si="250"/>
        <v>67.861254780877559</v>
      </c>
      <c r="BI273" s="60" t="e">
        <f t="shared" si="255"/>
        <v>#NUM!</v>
      </c>
      <c r="BJ273" s="66" t="e">
        <f t="shared" si="251"/>
        <v>#NUM!</v>
      </c>
      <c r="BK273" s="63" t="e">
        <f t="shared" si="256"/>
        <v>#NUM!</v>
      </c>
      <c r="BL273" s="51">
        <f t="shared" si="252"/>
        <v>5.7632448782746204</v>
      </c>
      <c r="BM273" s="63">
        <f t="shared" si="253"/>
        <v>67.861254780877559</v>
      </c>
    </row>
    <row r="274" spans="14:65" x14ac:dyDescent="0.3">
      <c r="N274" s="11">
        <v>56</v>
      </c>
      <c r="O274" s="52">
        <f t="shared" si="254"/>
        <v>3630.7805477010188</v>
      </c>
      <c r="P274" s="50" t="str">
        <f t="shared" si="206"/>
        <v>23.3035714285714</v>
      </c>
      <c r="Q274" s="18" t="str">
        <f t="shared" si="207"/>
        <v>1+8.65259455155173i</v>
      </c>
      <c r="R274" s="18">
        <f t="shared" si="218"/>
        <v>8.7101890033191971</v>
      </c>
      <c r="S274" s="18">
        <f t="shared" si="219"/>
        <v>1.4557345355397662</v>
      </c>
      <c r="T274" s="18" t="str">
        <f t="shared" si="208"/>
        <v>1+0.0403787745739081i</v>
      </c>
      <c r="U274" s="18">
        <f t="shared" si="220"/>
        <v>1.000814890694623</v>
      </c>
      <c r="V274" s="18">
        <f t="shared" si="221"/>
        <v>4.0356850887566645E-2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0.19378913008051-2.67390259421888i</v>
      </c>
      <c r="AD274" s="66">
        <f t="shared" si="227"/>
        <v>8.5656633539095051</v>
      </c>
      <c r="AE274" s="63">
        <f t="shared" si="228"/>
        <v>-85.854777869706908</v>
      </c>
      <c r="AF274" s="51" t="e">
        <f t="shared" si="229"/>
        <v>#NUM!</v>
      </c>
      <c r="AG274" s="51" t="str">
        <f t="shared" si="211"/>
        <v>1-12.1136323721724i</v>
      </c>
      <c r="AH274" s="51">
        <f t="shared" si="230"/>
        <v>12.154838100449677</v>
      </c>
      <c r="AI274" s="51">
        <f t="shared" si="231"/>
        <v>-1.4884314652491932</v>
      </c>
      <c r="AJ274" s="51" t="str">
        <f t="shared" si="212"/>
        <v>1+0.0403787745739081i</v>
      </c>
      <c r="AK274" s="51">
        <f t="shared" si="232"/>
        <v>1.000814890694623</v>
      </c>
      <c r="AL274" s="51">
        <f t="shared" si="233"/>
        <v>4.0356850887566645E-2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0.716271491738073+1.7527087927281i</v>
      </c>
      <c r="BG274" s="66">
        <f t="shared" si="249"/>
        <v>5.5449315306980331</v>
      </c>
      <c r="BH274" s="63">
        <f t="shared" si="250"/>
        <v>67.771862710618478</v>
      </c>
      <c r="BI274" s="60" t="e">
        <f t="shared" si="255"/>
        <v>#NUM!</v>
      </c>
      <c r="BJ274" s="66" t="e">
        <f t="shared" si="251"/>
        <v>#NUM!</v>
      </c>
      <c r="BK274" s="63" t="e">
        <f t="shared" si="256"/>
        <v>#NUM!</v>
      </c>
      <c r="BL274" s="51">
        <f t="shared" si="252"/>
        <v>5.5449315306980331</v>
      </c>
      <c r="BM274" s="63">
        <f t="shared" si="253"/>
        <v>67.771862710618478</v>
      </c>
    </row>
    <row r="275" spans="14:65" x14ac:dyDescent="0.3">
      <c r="N275" s="11">
        <v>57</v>
      </c>
      <c r="O275" s="52">
        <f t="shared" si="254"/>
        <v>3715.352290971724</v>
      </c>
      <c r="P275" s="50" t="str">
        <f t="shared" ref="P275:P338" si="257">COMPLEX(Adc,0)</f>
        <v>23.3035714285714</v>
      </c>
      <c r="Q275" s="18" t="str">
        <f t="shared" ref="Q275:Q338" si="258">IMSUM(COMPLEX(1,0),IMDIV(COMPLEX(0,2*PI()*O275),COMPLEX(wp_lf,0)))</f>
        <v>1+8.85413936964951i</v>
      </c>
      <c r="R275" s="18">
        <f t="shared" si="218"/>
        <v>8.9104311891836865</v>
      </c>
      <c r="S275" s="18">
        <f t="shared" si="219"/>
        <v>1.4583313793241701</v>
      </c>
      <c r="T275" s="18" t="str">
        <f t="shared" ref="T275:T338" si="259">IMSUM(COMPLEX(1,0),IMDIV(COMPLEX(0,2*PI()*O275),COMPLEX(wz_esr,0)))</f>
        <v>1+0.0413193170583644i</v>
      </c>
      <c r="U275" s="18">
        <f t="shared" si="220"/>
        <v>1.0008532789386113</v>
      </c>
      <c r="V275" s="18">
        <f t="shared" si="221"/>
        <v>4.1295826486753839E-2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0.180067212952406-2.61472739289815i</v>
      </c>
      <c r="AD275" s="66">
        <f t="shared" si="227"/>
        <v>8.3690764954892938</v>
      </c>
      <c r="AE275" s="63">
        <f t="shared" si="228"/>
        <v>-86.060458283711554</v>
      </c>
      <c r="AF275" s="51" t="e">
        <f t="shared" si="229"/>
        <v>#NUM!</v>
      </c>
      <c r="AG275" s="51" t="str">
        <f t="shared" ref="AG275:AG338" si="262">IMSUM(COMPLEX(1,0),IMDIV(COMPLEX(0,2*PI()*O275),COMPLEX(wp_lf_DCM,0)))</f>
        <v>1-12.3957951175093i</v>
      </c>
      <c r="AH275" s="51">
        <f t="shared" si="230"/>
        <v>12.436065961358816</v>
      </c>
      <c r="AI275" s="51">
        <f t="shared" si="231"/>
        <v>-1.4902981360279908</v>
      </c>
      <c r="AJ275" s="51" t="str">
        <f t="shared" ref="AJ275:AJ338" si="263">IMSUM(COMPLEX(1,0),IMDIV(COMPLEX(0,2*PI()*O275),COMPLEX(wz1_dcm,0)))</f>
        <v>1+0.0413193170583644i</v>
      </c>
      <c r="AK275" s="51">
        <f t="shared" si="232"/>
        <v>1.0008532789386113</v>
      </c>
      <c r="AL275" s="51">
        <f t="shared" si="233"/>
        <v>4.1295826486753839E-2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0.701471826436753+1.70804522723375i</v>
      </c>
      <c r="BG275" s="66">
        <f t="shared" si="249"/>
        <v>5.3268830281845556</v>
      </c>
      <c r="BH275" s="63">
        <f t="shared" si="250"/>
        <v>67.672685466393474</v>
      </c>
      <c r="BI275" s="60" t="e">
        <f t="shared" si="255"/>
        <v>#NUM!</v>
      </c>
      <c r="BJ275" s="66" t="e">
        <f t="shared" si="251"/>
        <v>#NUM!</v>
      </c>
      <c r="BK275" s="63" t="e">
        <f t="shared" si="256"/>
        <v>#NUM!</v>
      </c>
      <c r="BL275" s="51">
        <f t="shared" si="252"/>
        <v>5.3268830281845556</v>
      </c>
      <c r="BM275" s="63">
        <f t="shared" si="253"/>
        <v>67.672685466393474</v>
      </c>
    </row>
    <row r="276" spans="14:65" x14ac:dyDescent="0.3">
      <c r="N276" s="11">
        <v>58</v>
      </c>
      <c r="O276" s="52">
        <f t="shared" si="254"/>
        <v>3801.8939632056172</v>
      </c>
      <c r="P276" s="50" t="str">
        <f t="shared" si="257"/>
        <v>23.3035714285714</v>
      </c>
      <c r="Q276" s="18" t="str">
        <f t="shared" si="258"/>
        <v>1+9.06037876963948i</v>
      </c>
      <c r="R276" s="18">
        <f t="shared" ref="R276:R339" si="269">IMABS(Q276)</f>
        <v>9.1153970538498097</v>
      </c>
      <c r="S276" s="18">
        <f t="shared" ref="S276:S339" si="270">IMARGUMENT(Q276)</f>
        <v>1.4608705844835261</v>
      </c>
      <c r="T276" s="18" t="str">
        <f t="shared" si="259"/>
        <v>1+0.0422817675916509i</v>
      </c>
      <c r="U276" s="18">
        <f t="shared" ref="U276:U339" si="271">IMABS(T276)</f>
        <v>1.00089347478674</v>
      </c>
      <c r="V276" s="18">
        <f t="shared" ref="V276:V339" si="272">IMARGUMENT(T276)</f>
        <v>4.2256598204057888E-2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0.166947283016328-2.55680072647142i</v>
      </c>
      <c r="AD276" s="66">
        <f t="shared" ref="AD276:AD339" si="278">20*LOG(IMABS(AC276))</f>
        <v>8.1724143499352166</v>
      </c>
      <c r="AE276" s="63">
        <f t="shared" ref="AE276:AE339" si="279">(180/PI())*IMARGUMENT(AC276)</f>
        <v>-86.264153346911613</v>
      </c>
      <c r="AF276" s="51" t="e">
        <f t="shared" ref="AF276:AF339" si="280">COMPLEX($B$68,0)</f>
        <v>#NUM!</v>
      </c>
      <c r="AG276" s="51" t="str">
        <f t="shared" si="262"/>
        <v>1-12.6845302774953i</v>
      </c>
      <c r="AH276" s="51">
        <f t="shared" ref="AH276:AH339" si="281">IMABS(AG276)</f>
        <v>12.723887313266138</v>
      </c>
      <c r="AI276" s="51">
        <f t="shared" ref="AI276:AI339" si="282">IMARGUMENT(AG276)</f>
        <v>-1.4921228595989653</v>
      </c>
      <c r="AJ276" s="51" t="str">
        <f t="shared" si="263"/>
        <v>1+0.0422817675916509i</v>
      </c>
      <c r="AK276" s="51">
        <f t="shared" ref="AK276:AK339" si="283">IMABS(AJ276)</f>
        <v>1.00089347478674</v>
      </c>
      <c r="AL276" s="51">
        <f t="shared" ref="AL276:AL339" si="284">IMARGUMENT(AJ276)</f>
        <v>4.2256598204057888E-2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0.687269706785219+1.66444020282496i</v>
      </c>
      <c r="BG276" s="66">
        <f t="shared" ref="BG276:BG339" si="300">20*LOG(IMABS(BF276))</f>
        <v>5.1090688388146974</v>
      </c>
      <c r="BH276" s="63">
        <f t="shared" ref="BH276:BH339" si="301">(180/PI())*IMARGUMENT(BF276)</f>
        <v>67.563612384907842</v>
      </c>
      <c r="BI276" s="60" t="e">
        <f t="shared" si="255"/>
        <v>#NUM!</v>
      </c>
      <c r="BJ276" s="66" t="e">
        <f t="shared" ref="BJ276:BJ339" si="302">20*LOG(IMABS(BI276))</f>
        <v>#NUM!</v>
      </c>
      <c r="BK276" s="63" t="e">
        <f t="shared" si="256"/>
        <v>#NUM!</v>
      </c>
      <c r="BL276" s="51">
        <f t="shared" ref="BL276:BL339" si="303">IF($B$31=0,BJ276,BG276)</f>
        <v>5.1090688388146974</v>
      </c>
      <c r="BM276" s="63">
        <f t="shared" ref="BM276:BM339" si="304">IF($B$31=0,BK276,BH276)</f>
        <v>67.563612384907842</v>
      </c>
    </row>
    <row r="277" spans="14:65" x14ac:dyDescent="0.3">
      <c r="N277" s="11">
        <v>59</v>
      </c>
      <c r="O277" s="52">
        <f t="shared" si="254"/>
        <v>3890.451449942811</v>
      </c>
      <c r="P277" s="50" t="str">
        <f t="shared" si="257"/>
        <v>23.3035714285714</v>
      </c>
      <c r="Q277" s="18" t="str">
        <f t="shared" si="258"/>
        <v>1+9.2714221023814i</v>
      </c>
      <c r="R277" s="18">
        <f t="shared" si="269"/>
        <v>9.3251953223793844</v>
      </c>
      <c r="S277" s="18">
        <f t="shared" si="270"/>
        <v>1.463353366293523</v>
      </c>
      <c r="T277" s="18" t="str">
        <f t="shared" si="259"/>
        <v>1+0.0432666364777799i</v>
      </c>
      <c r="U277" s="18">
        <f t="shared" si="271"/>
        <v>1.0009355632767278</v>
      </c>
      <c r="V277" s="18">
        <f t="shared" si="272"/>
        <v>4.3239668354346436E-2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0.154403542826244-2.50010086031971i</v>
      </c>
      <c r="AD277" s="66">
        <f t="shared" si="278"/>
        <v>7.9756837884601914</v>
      </c>
      <c r="AE277" s="63">
        <f t="shared" si="279"/>
        <v>-86.465962793040902</v>
      </c>
      <c r="AF277" s="51" t="e">
        <f t="shared" si="280"/>
        <v>#NUM!</v>
      </c>
      <c r="AG277" s="51" t="str">
        <f t="shared" si="262"/>
        <v>1-12.979990943334i</v>
      </c>
      <c r="AH277" s="51">
        <f t="shared" si="281"/>
        <v>13.01845478115712</v>
      </c>
      <c r="AI277" s="51">
        <f t="shared" si="282"/>
        <v>-1.4939065548225605</v>
      </c>
      <c r="AJ277" s="51" t="str">
        <f t="shared" si="263"/>
        <v>1+0.0432666364777799i</v>
      </c>
      <c r="AK277" s="51">
        <f t="shared" si="283"/>
        <v>1.0009355632767278</v>
      </c>
      <c r="AL277" s="51">
        <f t="shared" si="284"/>
        <v>4.3239668354346436E-2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0.673637380343177+1.62186197698i</v>
      </c>
      <c r="BG277" s="66">
        <f t="shared" si="300"/>
        <v>4.8914585494929046</v>
      </c>
      <c r="BH277" s="63">
        <f t="shared" si="301"/>
        <v>67.444534990028799</v>
      </c>
      <c r="BI277" s="60" t="e">
        <f t="shared" si="255"/>
        <v>#NUM!</v>
      </c>
      <c r="BJ277" s="66" t="e">
        <f t="shared" si="302"/>
        <v>#NUM!</v>
      </c>
      <c r="BK277" s="63" t="e">
        <f t="shared" si="256"/>
        <v>#NUM!</v>
      </c>
      <c r="BL277" s="51">
        <f t="shared" si="303"/>
        <v>4.8914585494929046</v>
      </c>
      <c r="BM277" s="63">
        <f t="shared" si="304"/>
        <v>67.444534990028799</v>
      </c>
    </row>
    <row r="278" spans="14:65" x14ac:dyDescent="0.3">
      <c r="N278" s="11">
        <v>60</v>
      </c>
      <c r="O278" s="52">
        <f t="shared" si="254"/>
        <v>3981.0717055349769</v>
      </c>
      <c r="P278" s="50" t="str">
        <f t="shared" si="257"/>
        <v>23.3035714285714</v>
      </c>
      <c r="Q278" s="18" t="str">
        <f t="shared" si="258"/>
        <v>1+9.48738126584376i</v>
      </c>
      <c r="R278" s="18">
        <f t="shared" si="269"/>
        <v>9.5399372788023697</v>
      </c>
      <c r="S278" s="18">
        <f t="shared" si="270"/>
        <v>1.4657809186563582</v>
      </c>
      <c r="T278" s="18" t="str">
        <f t="shared" si="259"/>
        <v>1+0.0442744459072709i</v>
      </c>
      <c r="U278" s="18">
        <f t="shared" si="271"/>
        <v>1.0009796334393601</v>
      </c>
      <c r="V278" s="18">
        <f t="shared" si="272"/>
        <v>4.4245550569572009E-2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0.142411242470733-2.44460613428225i</v>
      </c>
      <c r="AD278" s="66">
        <f t="shared" si="278"/>
        <v>7.7788915520906095</v>
      </c>
      <c r="AE278" s="63">
        <f t="shared" si="279"/>
        <v>-86.665985791627421</v>
      </c>
      <c r="AF278" s="51" t="e">
        <f t="shared" si="280"/>
        <v>#NUM!</v>
      </c>
      <c r="AG278" s="51" t="str">
        <f t="shared" si="262"/>
        <v>1-13.2823337721813i</v>
      </c>
      <c r="AH278" s="51">
        <f t="shared" si="281"/>
        <v>13.319924565688348</v>
      </c>
      <c r="AI278" s="51">
        <f t="shared" si="282"/>
        <v>-1.4956501220126446</v>
      </c>
      <c r="AJ278" s="51" t="str">
        <f t="shared" si="263"/>
        <v>1+0.0442744459072709i</v>
      </c>
      <c r="AK278" s="51">
        <f t="shared" si="283"/>
        <v>1.0009796334393601</v>
      </c>
      <c r="AL278" s="51">
        <f t="shared" si="284"/>
        <v>4.4245550569572009E-2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0.660548146364333+1.58027999030581i</v>
      </c>
      <c r="BG278" s="66">
        <f t="shared" si="300"/>
        <v>4.6740218512265033</v>
      </c>
      <c r="BH278" s="63">
        <f t="shared" si="301"/>
        <v>67.315346817819687</v>
      </c>
      <c r="BI278" s="60" t="e">
        <f t="shared" si="255"/>
        <v>#NUM!</v>
      </c>
      <c r="BJ278" s="66" t="e">
        <f t="shared" si="302"/>
        <v>#NUM!</v>
      </c>
      <c r="BK278" s="63" t="e">
        <f t="shared" si="256"/>
        <v>#NUM!</v>
      </c>
      <c r="BL278" s="51">
        <f t="shared" si="303"/>
        <v>4.6740218512265033</v>
      </c>
      <c r="BM278" s="63">
        <f t="shared" si="304"/>
        <v>67.315346817819687</v>
      </c>
    </row>
    <row r="279" spans="14:65" x14ac:dyDescent="0.3">
      <c r="N279" s="11">
        <v>61</v>
      </c>
      <c r="O279" s="52">
        <f t="shared" si="254"/>
        <v>4073.8027780411317</v>
      </c>
      <c r="P279" s="50" t="str">
        <f t="shared" si="257"/>
        <v>23.3035714285714</v>
      </c>
      <c r="Q279" s="18" t="str">
        <f t="shared" si="258"/>
        <v>1+9.70837076443364i</v>
      </c>
      <c r="R279" s="18">
        <f t="shared" si="269"/>
        <v>9.7597368253303767</v>
      </c>
      <c r="S279" s="18">
        <f t="shared" si="270"/>
        <v>1.4681544141853224</v>
      </c>
      <c r="T279" s="18" t="str">
        <f t="shared" si="259"/>
        <v>1+0.0453057302340237i</v>
      </c>
      <c r="U279" s="18">
        <f t="shared" si="271"/>
        <v>1.0010257784852685</v>
      </c>
      <c r="V279" s="18">
        <f t="shared" si="272"/>
        <v>4.5274770035158313E-2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0.130946641920707-2.39029498713i</v>
      </c>
      <c r="AD279" s="66">
        <f t="shared" si="278"/>
        <v>7.5820442643786663</v>
      </c>
      <c r="AE279" s="63">
        <f t="shared" si="279"/>
        <v>-86.864320965349492</v>
      </c>
      <c r="AF279" s="51" t="e">
        <f t="shared" si="280"/>
        <v>#NUM!</v>
      </c>
      <c r="AG279" s="51" t="str">
        <f t="shared" si="262"/>
        <v>1-13.5917190702071i</v>
      </c>
      <c r="AH279" s="51">
        <f t="shared" si="281"/>
        <v>13.628456526086561</v>
      </c>
      <c r="AI279" s="51">
        <f t="shared" si="282"/>
        <v>-1.49735444320398</v>
      </c>
      <c r="AJ279" s="51" t="str">
        <f t="shared" si="263"/>
        <v>1+0.0453057302340237i</v>
      </c>
      <c r="AK279" s="51">
        <f t="shared" si="283"/>
        <v>1.0010257784852685</v>
      </c>
      <c r="AL279" s="51">
        <f t="shared" si="284"/>
        <v>4.5274770035158313E-2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0.64797631657336+1.53966481544209i</v>
      </c>
      <c r="BG279" s="66">
        <f t="shared" si="300"/>
        <v>4.4567285229461699</v>
      </c>
      <c r="BH279" s="63">
        <f t="shared" si="301"/>
        <v>67.175943259545477</v>
      </c>
      <c r="BI279" s="60" t="e">
        <f t="shared" si="255"/>
        <v>#NUM!</v>
      </c>
      <c r="BJ279" s="66" t="e">
        <f t="shared" si="302"/>
        <v>#NUM!</v>
      </c>
      <c r="BK279" s="63" t="e">
        <f t="shared" si="256"/>
        <v>#NUM!</v>
      </c>
      <c r="BL279" s="51">
        <f t="shared" si="303"/>
        <v>4.4567285229461699</v>
      </c>
      <c r="BM279" s="63">
        <f t="shared" si="304"/>
        <v>67.175943259545477</v>
      </c>
    </row>
    <row r="280" spans="14:65" x14ac:dyDescent="0.3">
      <c r="N280" s="11">
        <v>62</v>
      </c>
      <c r="O280" s="52">
        <f t="shared" si="254"/>
        <v>4168.6938347033583</v>
      </c>
      <c r="P280" s="50" t="str">
        <f t="shared" si="257"/>
        <v>23.3035714285714</v>
      </c>
      <c r="Q280" s="18" t="str">
        <f t="shared" si="258"/>
        <v>1+9.93450776970831i</v>
      </c>
      <c r="R280" s="18">
        <f t="shared" si="269"/>
        <v>9.984710542944887</v>
      </c>
      <c r="S280" s="18">
        <f t="shared" si="270"/>
        <v>1.4704750043123875</v>
      </c>
      <c r="T280" s="18" t="str">
        <f t="shared" si="259"/>
        <v>1+0.0463610362586388i</v>
      </c>
      <c r="U280" s="18">
        <f t="shared" si="271"/>
        <v>1.0010740960003783</v>
      </c>
      <c r="V280" s="18">
        <f t="shared" si="272"/>
        <v>4.6327863729967174E-2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0.119986974278756-2.33714597895148i</v>
      </c>
      <c r="AD280" s="66">
        <f t="shared" si="278"/>
        <v>7.3851484439714898</v>
      </c>
      <c r="AE280" s="63">
        <f t="shared" si="279"/>
        <v>-87.061066408801111</v>
      </c>
      <c r="AF280" s="51" t="e">
        <f t="shared" si="280"/>
        <v>#NUM!</v>
      </c>
      <c r="AG280" s="51" t="str">
        <f t="shared" si="262"/>
        <v>1-13.9083108775917i</v>
      </c>
      <c r="AH280" s="51">
        <f t="shared" si="281"/>
        <v>13.944214264982291</v>
      </c>
      <c r="AI280" s="51">
        <f t="shared" si="282"/>
        <v>-1.4990203824235653</v>
      </c>
      <c r="AJ280" s="51" t="str">
        <f t="shared" si="263"/>
        <v>1+0.0463610362586388i</v>
      </c>
      <c r="AK280" s="51">
        <f t="shared" si="283"/>
        <v>1.0010740960003783</v>
      </c>
      <c r="AL280" s="51">
        <f t="shared" si="284"/>
        <v>4.6327863729967174E-2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0.635897176966255+1.49998810887726i</v>
      </c>
      <c r="BG280" s="66">
        <f t="shared" si="300"/>
        <v>4.2395484140653537</v>
      </c>
      <c r="BH280" s="63">
        <f t="shared" si="301"/>
        <v>67.026221423003804</v>
      </c>
      <c r="BI280" s="60" t="e">
        <f t="shared" si="255"/>
        <v>#NUM!</v>
      </c>
      <c r="BJ280" s="66" t="e">
        <f t="shared" si="302"/>
        <v>#NUM!</v>
      </c>
      <c r="BK280" s="63" t="e">
        <f t="shared" si="256"/>
        <v>#NUM!</v>
      </c>
      <c r="BL280" s="51">
        <f t="shared" si="303"/>
        <v>4.2395484140653537</v>
      </c>
      <c r="BM280" s="63">
        <f t="shared" si="304"/>
        <v>67.026221423003804</v>
      </c>
    </row>
    <row r="281" spans="14:65" x14ac:dyDescent="0.3">
      <c r="N281" s="11">
        <v>63</v>
      </c>
      <c r="O281" s="52">
        <f t="shared" si="254"/>
        <v>4265.7951880159299</v>
      </c>
      <c r="P281" s="50" t="str">
        <f t="shared" si="257"/>
        <v>23.3035714285714</v>
      </c>
      <c r="Q281" s="18" t="str">
        <f t="shared" si="258"/>
        <v>1+10.1659121825012i</v>
      </c>
      <c r="R281" s="18">
        <f t="shared" si="269"/>
        <v>10.214977753393606</v>
      </c>
      <c r="S281" s="18">
        <f t="shared" si="270"/>
        <v>1.4727438194168199</v>
      </c>
      <c r="T281" s="18" t="str">
        <f t="shared" si="259"/>
        <v>1+0.047440923518339i</v>
      </c>
      <c r="U281" s="18">
        <f t="shared" si="271"/>
        <v>1.0011246881504186</v>
      </c>
      <c r="V281" s="18">
        <f t="shared" si="272"/>
        <v>4.7405380669798478E-2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0.109510409953054-2.28513781157873i</v>
      </c>
      <c r="AD281" s="66">
        <f t="shared" si="278"/>
        <v>7.1882105170525401</v>
      </c>
      <c r="AE281" s="63">
        <f t="shared" si="279"/>
        <v>-87.256319708542421</v>
      </c>
      <c r="AF281" s="51" t="e">
        <f t="shared" si="280"/>
        <v>#NUM!</v>
      </c>
      <c r="AG281" s="51" t="str">
        <f t="shared" si="262"/>
        <v>1-14.2322770555017i</v>
      </c>
      <c r="AH281" s="51">
        <f t="shared" si="281"/>
        <v>14.267365215223172</v>
      </c>
      <c r="AI281" s="51">
        <f t="shared" si="282"/>
        <v>-1.5006487859651263</v>
      </c>
      <c r="AJ281" s="51" t="str">
        <f t="shared" si="263"/>
        <v>1+0.047440923518339i</v>
      </c>
      <c r="AK281" s="51">
        <f t="shared" si="283"/>
        <v>1.0011246881504186</v>
      </c>
      <c r="AL281" s="51">
        <f t="shared" si="284"/>
        <v>4.7405380669798478E-2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0.624286950668453+1.46122256553042i</v>
      </c>
      <c r="BG281" s="66">
        <f t="shared" si="300"/>
        <v>4.0224514259730562</v>
      </c>
      <c r="BH281" s="63">
        <f t="shared" si="301"/>
        <v>66.86608001248193</v>
      </c>
      <c r="BI281" s="60" t="e">
        <f t="shared" si="255"/>
        <v>#NUM!</v>
      </c>
      <c r="BJ281" s="66" t="e">
        <f t="shared" si="302"/>
        <v>#NUM!</v>
      </c>
      <c r="BK281" s="63" t="e">
        <f t="shared" si="256"/>
        <v>#NUM!</v>
      </c>
      <c r="BL281" s="51">
        <f t="shared" si="303"/>
        <v>4.0224514259730562</v>
      </c>
      <c r="BM281" s="63">
        <f t="shared" si="304"/>
        <v>66.86608001248193</v>
      </c>
    </row>
    <row r="282" spans="14:65" x14ac:dyDescent="0.3">
      <c r="N282" s="11">
        <v>64</v>
      </c>
      <c r="O282" s="52">
        <f t="shared" si="254"/>
        <v>4365.1583224016631</v>
      </c>
      <c r="P282" s="50" t="str">
        <f t="shared" si="257"/>
        <v>23.3035714285714</v>
      </c>
      <c r="Q282" s="18" t="str">
        <f t="shared" si="258"/>
        <v>1+10.402706696495i</v>
      </c>
      <c r="R282" s="18">
        <f t="shared" si="269"/>
        <v>10.45066058262835</v>
      </c>
      <c r="S282" s="18">
        <f t="shared" si="270"/>
        <v>1.4749619689729452</v>
      </c>
      <c r="T282" s="18" t="str">
        <f t="shared" si="259"/>
        <v>1+0.0485459645836435i</v>
      </c>
      <c r="U282" s="18">
        <f t="shared" si="271"/>
        <v>1.0011776618949089</v>
      </c>
      <c r="V282" s="18">
        <f t="shared" si="272"/>
        <v>4.8507882154358875E-2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0.0994960217729789-2.23424934717498i</v>
      </c>
      <c r="AD282" s="66">
        <f t="shared" si="278"/>
        <v>6.9912368296704939</v>
      </c>
      <c r="AE282" s="63">
        <f t="shared" si="279"/>
        <v>-87.450177964313824</v>
      </c>
      <c r="AF282" s="51" t="e">
        <f t="shared" si="280"/>
        <v>#NUM!</v>
      </c>
      <c r="AG282" s="51" t="str">
        <f t="shared" si="262"/>
        <v>1-14.5637893750931i</v>
      </c>
      <c r="AH282" s="51">
        <f t="shared" si="281"/>
        <v>14.598080728714809</v>
      </c>
      <c r="AI282" s="51">
        <f t="shared" si="282"/>
        <v>-1.5022404826661127</v>
      </c>
      <c r="AJ282" s="51" t="str">
        <f t="shared" si="263"/>
        <v>1+0.0485459645836435i</v>
      </c>
      <c r="AK282" s="51">
        <f t="shared" si="283"/>
        <v>1.0011776618949089</v>
      </c>
      <c r="AL282" s="51">
        <f t="shared" si="284"/>
        <v>4.8507882154358875E-2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0.61312276187939+1.42334187595963i</v>
      </c>
      <c r="BG282" s="66">
        <f t="shared" si="300"/>
        <v>3.8054074926522796</v>
      </c>
      <c r="BH282" s="63">
        <f t="shared" si="301"/>
        <v>66.695419227607474</v>
      </c>
      <c r="BI282" s="60" t="e">
        <f t="shared" si="255"/>
        <v>#NUM!</v>
      </c>
      <c r="BJ282" s="66" t="e">
        <f t="shared" si="302"/>
        <v>#NUM!</v>
      </c>
      <c r="BK282" s="63" t="e">
        <f t="shared" si="256"/>
        <v>#NUM!</v>
      </c>
      <c r="BL282" s="51">
        <f t="shared" si="303"/>
        <v>3.8054074926522796</v>
      </c>
      <c r="BM282" s="63">
        <f t="shared" si="304"/>
        <v>66.695419227607474</v>
      </c>
    </row>
    <row r="283" spans="14:65" x14ac:dyDescent="0.3">
      <c r="N283" s="11">
        <v>65</v>
      </c>
      <c r="O283" s="52">
        <f t="shared" si="254"/>
        <v>4466.8359215096343</v>
      </c>
      <c r="P283" s="50" t="str">
        <f t="shared" si="257"/>
        <v>23.3035714285714</v>
      </c>
      <c r="Q283" s="18" t="str">
        <f t="shared" si="258"/>
        <v>1+10.6450168632754i</v>
      </c>
      <c r="R283" s="18">
        <f t="shared" si="269"/>
        <v>10.69188402571865</v>
      </c>
      <c r="S283" s="18">
        <f t="shared" si="270"/>
        <v>1.4771305417153167</v>
      </c>
      <c r="T283" s="18" t="str">
        <f t="shared" si="259"/>
        <v>1+0.049676745361952i</v>
      </c>
      <c r="U283" s="18">
        <f t="shared" si="271"/>
        <v>1.0012331292110526</v>
      </c>
      <c r="V283" s="18">
        <f t="shared" si="272"/>
        <v>4.9635942017626396E-2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0.089923751058184-2.18445962509982i</v>
      </c>
      <c r="AD283" s="66">
        <f t="shared" si="278"/>
        <v>6.794233659971626</v>
      </c>
      <c r="AE283" s="63">
        <f t="shared" si="279"/>
        <v>-87.64273781130106</v>
      </c>
      <c r="AF283" s="51" t="e">
        <f t="shared" si="280"/>
        <v>#NUM!</v>
      </c>
      <c r="AG283" s="51" t="str">
        <f t="shared" si="262"/>
        <v>1-14.9030236085856i</v>
      </c>
      <c r="AH283" s="51">
        <f t="shared" si="281"/>
        <v>14.936536167333433</v>
      </c>
      <c r="AI283" s="51">
        <f t="shared" si="282"/>
        <v>-1.50379628418657</v>
      </c>
      <c r="AJ283" s="51" t="str">
        <f t="shared" si="263"/>
        <v>1+0.049676745361952i</v>
      </c>
      <c r="AK283" s="51">
        <f t="shared" si="283"/>
        <v>1.0012331292110526</v>
      </c>
      <c r="AL283" s="51">
        <f t="shared" si="284"/>
        <v>4.9635942017626396E-2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0.602382600927677+1.38632068606249i</v>
      </c>
      <c r="BG283" s="66">
        <f t="shared" si="300"/>
        <v>3.5883865606144489</v>
      </c>
      <c r="BH283" s="63">
        <f t="shared" si="301"/>
        <v>66.514140681312028</v>
      </c>
      <c r="BI283" s="60" t="e">
        <f t="shared" si="255"/>
        <v>#NUM!</v>
      </c>
      <c r="BJ283" s="66" t="e">
        <f t="shared" si="302"/>
        <v>#NUM!</v>
      </c>
      <c r="BK283" s="63" t="e">
        <f t="shared" si="256"/>
        <v>#NUM!</v>
      </c>
      <c r="BL283" s="51">
        <f t="shared" si="303"/>
        <v>3.5883865606144489</v>
      </c>
      <c r="BM283" s="63">
        <f t="shared" si="304"/>
        <v>66.514140681312028</v>
      </c>
    </row>
    <row r="284" spans="14:65" x14ac:dyDescent="0.3">
      <c r="N284" s="11">
        <v>66</v>
      </c>
      <c r="O284" s="52">
        <f t="shared" ref="O284:O318" si="305">10^(3+(N284/100))</f>
        <v>4570.8818961487532</v>
      </c>
      <c r="P284" s="50" t="str">
        <f t="shared" si="257"/>
        <v>23.3035714285714</v>
      </c>
      <c r="Q284" s="18" t="str">
        <f t="shared" si="258"/>
        <v>1+10.8929711589002i</v>
      </c>
      <c r="R284" s="18">
        <f t="shared" si="269"/>
        <v>10.938776013276421</v>
      </c>
      <c r="S284" s="18">
        <f t="shared" si="270"/>
        <v>1.4792506058196451</v>
      </c>
      <c r="T284" s="18" t="str">
        <f t="shared" si="259"/>
        <v>1+0.050833865408201i</v>
      </c>
      <c r="U284" s="18">
        <f t="shared" si="271"/>
        <v>1.0012912073279876</v>
      </c>
      <c r="V284" s="18">
        <f t="shared" si="272"/>
        <v>5.0790146881526645E-2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0.0807743746482008-2.13574787716182i</v>
      </c>
      <c r="AD284" s="66">
        <f t="shared" si="278"/>
        <v>6.5972072303516249</v>
      </c>
      <c r="AE284" s="63">
        <f t="shared" si="279"/>
        <v>-87.834095443340829</v>
      </c>
      <c r="AF284" s="51" t="e">
        <f t="shared" si="280"/>
        <v>#NUM!</v>
      </c>
      <c r="AG284" s="51" t="str">
        <f t="shared" si="262"/>
        <v>1-15.2501596224603i</v>
      </c>
      <c r="AH284" s="51">
        <f t="shared" si="281"/>
        <v>15.282910995962727</v>
      </c>
      <c r="AI284" s="51">
        <f t="shared" si="282"/>
        <v>-1.5053169852893464</v>
      </c>
      <c r="AJ284" s="51" t="str">
        <f t="shared" si="263"/>
        <v>1+0.050833865408201i</v>
      </c>
      <c r="AK284" s="51">
        <f t="shared" si="283"/>
        <v>1.0012912073279876</v>
      </c>
      <c r="AL284" s="51">
        <f t="shared" si="284"/>
        <v>5.0790146881526645E-2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0.592045290456514+1.35013455914021i</v>
      </c>
      <c r="BG284" s="66">
        <f t="shared" si="300"/>
        <v>3.3713585683360785</v>
      </c>
      <c r="BH284" s="63">
        <f t="shared" si="301"/>
        <v>66.322147337095601</v>
      </c>
      <c r="BI284" s="60" t="e">
        <f t="shared" si="255"/>
        <v>#NUM!</v>
      </c>
      <c r="BJ284" s="66" t="e">
        <f t="shared" si="302"/>
        <v>#NUM!</v>
      </c>
      <c r="BK284" s="63" t="e">
        <f t="shared" si="256"/>
        <v>#NUM!</v>
      </c>
      <c r="BL284" s="51">
        <f t="shared" si="303"/>
        <v>3.3713585683360785</v>
      </c>
      <c r="BM284" s="63">
        <f t="shared" si="304"/>
        <v>66.322147337095601</v>
      </c>
    </row>
    <row r="285" spans="14:65" x14ac:dyDescent="0.3">
      <c r="N285" s="11">
        <v>67</v>
      </c>
      <c r="O285" s="52">
        <f t="shared" si="305"/>
        <v>4677.3514128719844</v>
      </c>
      <c r="P285" s="50" t="str">
        <f t="shared" si="257"/>
        <v>23.3035714285714</v>
      </c>
      <c r="Q285" s="18" t="str">
        <f t="shared" si="258"/>
        <v>1+11.1467010520189i</v>
      </c>
      <c r="R285" s="18">
        <f t="shared" si="269"/>
        <v>11.191467479427319</v>
      </c>
      <c r="S285" s="18">
        <f t="shared" si="270"/>
        <v>1.4813232090979607</v>
      </c>
      <c r="T285" s="18" t="str">
        <f t="shared" si="259"/>
        <v>1+0.0520179382427551i</v>
      </c>
      <c r="U285" s="18">
        <f t="shared" si="271"/>
        <v>1.0013520189718634</v>
      </c>
      <c r="V285" s="18">
        <f t="shared" si="272"/>
        <v>5.1971096412820057E-2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0.0720294728953766-2.08809354136316i</v>
      </c>
      <c r="AD285" s="66">
        <f t="shared" si="278"/>
        <v>6.4001637195440981</v>
      </c>
      <c r="AE285" s="63">
        <f t="shared" si="279"/>
        <v>-88.024346636963273</v>
      </c>
      <c r="AF285" s="51" t="e">
        <f t="shared" si="280"/>
        <v>#NUM!</v>
      </c>
      <c r="AG285" s="51" t="str">
        <f t="shared" si="262"/>
        <v>1-15.6053814728265i</v>
      </c>
      <c r="AH285" s="51">
        <f t="shared" si="281"/>
        <v>15.637388877700667</v>
      </c>
      <c r="AI285" s="51">
        <f t="shared" si="282"/>
        <v>-1.5068033641211003</v>
      </c>
      <c r="AJ285" s="51" t="str">
        <f t="shared" si="263"/>
        <v>1+0.0520179382427551i</v>
      </c>
      <c r="AK285" s="51">
        <f t="shared" si="283"/>
        <v>1.0013520189718634</v>
      </c>
      <c r="AL285" s="51">
        <f t="shared" si="284"/>
        <v>5.1971096412820057E-2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0.582090452755556+1.31475994020247i</v>
      </c>
      <c r="BG285" s="66">
        <f t="shared" si="300"/>
        <v>3.154293425387996</v>
      </c>
      <c r="BH285" s="63">
        <f t="shared" si="301"/>
        <v>66.119343465751115</v>
      </c>
      <c r="BI285" s="60" t="e">
        <f t="shared" si="255"/>
        <v>#NUM!</v>
      </c>
      <c r="BJ285" s="66" t="e">
        <f t="shared" si="302"/>
        <v>#NUM!</v>
      </c>
      <c r="BK285" s="63" t="e">
        <f t="shared" si="256"/>
        <v>#NUM!</v>
      </c>
      <c r="BL285" s="51">
        <f t="shared" si="303"/>
        <v>3.154293425387996</v>
      </c>
      <c r="BM285" s="63">
        <f t="shared" si="304"/>
        <v>66.119343465751115</v>
      </c>
    </row>
    <row r="286" spans="14:65" x14ac:dyDescent="0.3">
      <c r="N286" s="11">
        <v>68</v>
      </c>
      <c r="O286" s="52">
        <f t="shared" si="305"/>
        <v>4786.3009232263848</v>
      </c>
      <c r="P286" s="50" t="str">
        <f t="shared" si="257"/>
        <v>23.3035714285714</v>
      </c>
      <c r="Q286" s="18" t="str">
        <f t="shared" si="258"/>
        <v>1+11.4063410735795i</v>
      </c>
      <c r="R286" s="18">
        <f t="shared" si="269"/>
        <v>11.450092431366077</v>
      </c>
      <c r="S286" s="18">
        <f t="shared" si="270"/>
        <v>1.4833493792065733</v>
      </c>
      <c r="T286" s="18" t="str">
        <f t="shared" si="259"/>
        <v>1+0.0532295916767043i</v>
      </c>
      <c r="U286" s="18">
        <f t="shared" si="271"/>
        <v>1.001415692622234</v>
      </c>
      <c r="V286" s="18">
        <f t="shared" si="272"/>
        <v>5.3179403583089625E-2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0.0636713986201957-2.04147627423487i</v>
      </c>
      <c r="AD286" s="66">
        <f t="shared" si="278"/>
        <v>6.2031092746609948</v>
      </c>
      <c r="AE286" s="63">
        <f t="shared" si="279"/>
        <v>-88.213586776170629</v>
      </c>
      <c r="AF286" s="51" t="e">
        <f t="shared" si="280"/>
        <v>#NUM!</v>
      </c>
      <c r="AG286" s="51" t="str">
        <f t="shared" si="262"/>
        <v>1-15.9688775030113i</v>
      </c>
      <c r="AH286" s="51">
        <f t="shared" si="281"/>
        <v>16.000157771290269</v>
      </c>
      <c r="AI286" s="51">
        <f t="shared" si="282"/>
        <v>-1.5082561824936445</v>
      </c>
      <c r="AJ286" s="51" t="str">
        <f t="shared" si="263"/>
        <v>1+0.0532295916767043i</v>
      </c>
      <c r="AK286" s="51">
        <f t="shared" si="283"/>
        <v>1.001415692622234</v>
      </c>
      <c r="AL286" s="51">
        <f t="shared" si="284"/>
        <v>5.3179403583089625E-2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0.572498478251912+1.28017412239416i</v>
      </c>
      <c r="BG286" s="66">
        <f t="shared" si="300"/>
        <v>2.9371609914400247</v>
      </c>
      <c r="BH286" s="63">
        <f t="shared" si="301"/>
        <v>65.905634621669122</v>
      </c>
      <c r="BI286" s="60" t="e">
        <f t="shared" si="255"/>
        <v>#NUM!</v>
      </c>
      <c r="BJ286" s="66" t="e">
        <f t="shared" si="302"/>
        <v>#NUM!</v>
      </c>
      <c r="BK286" s="63" t="e">
        <f t="shared" si="256"/>
        <v>#NUM!</v>
      </c>
      <c r="BL286" s="51">
        <f t="shared" si="303"/>
        <v>2.9371609914400247</v>
      </c>
      <c r="BM286" s="63">
        <f t="shared" si="304"/>
        <v>65.905634621669122</v>
      </c>
    </row>
    <row r="287" spans="14:65" x14ac:dyDescent="0.3">
      <c r="N287" s="11">
        <v>69</v>
      </c>
      <c r="O287" s="52">
        <f t="shared" si="305"/>
        <v>4897.7881936844633</v>
      </c>
      <c r="P287" s="50" t="str">
        <f t="shared" si="257"/>
        <v>23.3035714285714</v>
      </c>
      <c r="Q287" s="18" t="str">
        <f t="shared" si="258"/>
        <v>1+11.672028888158i</v>
      </c>
      <c r="R287" s="18">
        <f t="shared" si="269"/>
        <v>11.714788020531778</v>
      </c>
      <c r="S287" s="18">
        <f t="shared" si="270"/>
        <v>1.4853301238654812</v>
      </c>
      <c r="T287" s="18" t="str">
        <f t="shared" si="259"/>
        <v>1+0.0544694681447376i</v>
      </c>
      <c r="U287" s="18">
        <f t="shared" si="271"/>
        <v>1.0014823627802791</v>
      </c>
      <c r="V287" s="18">
        <f t="shared" si="272"/>
        <v>5.4415694931698295E-2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0.0556832470247651-1.99587596185688i</v>
      </c>
      <c r="AD287" s="66">
        <f t="shared" si="278"/>
        <v>6.0060500232038647</v>
      </c>
      <c r="AE287" s="63">
        <f t="shared" si="279"/>
        <v>-88.401910877855059</v>
      </c>
      <c r="AF287" s="51" t="e">
        <f t="shared" si="280"/>
        <v>#NUM!</v>
      </c>
      <c r="AG287" s="51" t="str">
        <f t="shared" si="262"/>
        <v>1-16.3408404434213i</v>
      </c>
      <c r="AH287" s="51">
        <f t="shared" si="281"/>
        <v>16.371410030823647</v>
      </c>
      <c r="AI287" s="51">
        <f t="shared" si="282"/>
        <v>-1.5096761861651844</v>
      </c>
      <c r="AJ287" s="51" t="str">
        <f t="shared" si="263"/>
        <v>1+0.0544694681447376i</v>
      </c>
      <c r="AK287" s="51">
        <f t="shared" si="283"/>
        <v>1.0014823627802791</v>
      </c>
      <c r="AL287" s="51">
        <f t="shared" si="284"/>
        <v>5.4415694931698295E-2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0.563250495170411+1.24635521543088i</v>
      </c>
      <c r="BG287" s="66">
        <f t="shared" si="300"/>
        <v>2.7199310553306151</v>
      </c>
      <c r="BH287" s="63">
        <f t="shared" si="301"/>
        <v>65.680927638821174</v>
      </c>
      <c r="BI287" s="60" t="e">
        <f t="shared" si="255"/>
        <v>#NUM!</v>
      </c>
      <c r="BJ287" s="66" t="e">
        <f t="shared" si="302"/>
        <v>#NUM!</v>
      </c>
      <c r="BK287" s="63" t="e">
        <f t="shared" si="256"/>
        <v>#NUM!</v>
      </c>
      <c r="BL287" s="51">
        <f t="shared" si="303"/>
        <v>2.7199310553306151</v>
      </c>
      <c r="BM287" s="63">
        <f t="shared" si="304"/>
        <v>65.680927638821174</v>
      </c>
    </row>
    <row r="288" spans="14:65" x14ac:dyDescent="0.3">
      <c r="N288" s="11">
        <v>70</v>
      </c>
      <c r="O288" s="52">
        <f t="shared" si="305"/>
        <v>5011.8723362727324</v>
      </c>
      <c r="P288" s="50" t="str">
        <f t="shared" si="257"/>
        <v>23.3035714285714</v>
      </c>
      <c r="Q288" s="18" t="str">
        <f t="shared" si="258"/>
        <v>1+11.9439053669507i</v>
      </c>
      <c r="R288" s="18">
        <f t="shared" si="269"/>
        <v>11.985694615443601</v>
      </c>
      <c r="S288" s="18">
        <f t="shared" si="270"/>
        <v>1.4872664310879997</v>
      </c>
      <c r="T288" s="18" t="str">
        <f t="shared" si="259"/>
        <v>1+0.0557382250457698i</v>
      </c>
      <c r="U288" s="18">
        <f t="shared" si="271"/>
        <v>1.0015521702493848</v>
      </c>
      <c r="V288" s="18">
        <f t="shared" si="272"/>
        <v>5.5680610831571463E-2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0.0480488265572408-1.95127272965112i</v>
      </c>
      <c r="AD288" s="66">
        <f t="shared" si="278"/>
        <v>5.8089920850615311</v>
      </c>
      <c r="AE288" s="63">
        <f t="shared" si="279"/>
        <v>-88.589413617763185</v>
      </c>
      <c r="AF288" s="51" t="e">
        <f t="shared" si="280"/>
        <v>#NUM!</v>
      </c>
      <c r="AG288" s="51" t="str">
        <f t="shared" si="262"/>
        <v>1-16.721467513731i</v>
      </c>
      <c r="AH288" s="51">
        <f t="shared" si="281"/>
        <v>16.751342507774151</v>
      </c>
      <c r="AI288" s="51">
        <f t="shared" si="282"/>
        <v>-1.5110641051210523</v>
      </c>
      <c r="AJ288" s="51" t="str">
        <f t="shared" si="263"/>
        <v>1+0.0557382250457698i</v>
      </c>
      <c r="AK288" s="51">
        <f t="shared" si="283"/>
        <v>1.0015521702493848</v>
      </c>
      <c r="AL288" s="51">
        <f t="shared" si="284"/>
        <v>5.5680610831571463E-2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0.554328340370574+1.2132821159336i</v>
      </c>
      <c r="BG288" s="66">
        <f t="shared" si="300"/>
        <v>2.5025733143865199</v>
      </c>
      <c r="BH288" s="63">
        <f t="shared" si="301"/>
        <v>65.445130646487314</v>
      </c>
      <c r="BI288" s="60" t="e">
        <f t="shared" si="255"/>
        <v>#NUM!</v>
      </c>
      <c r="BJ288" s="66" t="e">
        <f t="shared" si="302"/>
        <v>#NUM!</v>
      </c>
      <c r="BK288" s="63" t="e">
        <f t="shared" si="256"/>
        <v>#NUM!</v>
      </c>
      <c r="BL288" s="51">
        <f t="shared" si="303"/>
        <v>2.5025733143865199</v>
      </c>
      <c r="BM288" s="63">
        <f t="shared" si="304"/>
        <v>65.445130646487314</v>
      </c>
    </row>
    <row r="289" spans="14:65" x14ac:dyDescent="0.3">
      <c r="N289" s="11">
        <v>71</v>
      </c>
      <c r="O289" s="52">
        <f t="shared" si="305"/>
        <v>5128.6138399136489</v>
      </c>
      <c r="P289" s="50" t="str">
        <f t="shared" si="257"/>
        <v>23.3035714285714</v>
      </c>
      <c r="Q289" s="18" t="str">
        <f t="shared" si="258"/>
        <v>1+12.2221146624651i</v>
      </c>
      <c r="R289" s="18">
        <f t="shared" si="269"/>
        <v>12.262955876233283</v>
      </c>
      <c r="S289" s="18">
        <f t="shared" si="270"/>
        <v>1.4891592694194191</v>
      </c>
      <c r="T289" s="18" t="str">
        <f t="shared" si="259"/>
        <v>1+0.0570365350915037i</v>
      </c>
      <c r="U289" s="18">
        <f t="shared" si="271"/>
        <v>1.0016252624286412</v>
      </c>
      <c r="V289" s="18">
        <f t="shared" si="272"/>
        <v>5.6974805757642799E-2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0.0407526307174945-1.90764695103173i</v>
      </c>
      <c r="AD289" s="66">
        <f t="shared" si="278"/>
        <v>5.6119415845126248</v>
      </c>
      <c r="AE289" s="63">
        <f t="shared" si="279"/>
        <v>-88.776189356916518</v>
      </c>
      <c r="AF289" s="51" t="e">
        <f t="shared" si="280"/>
        <v>#NUM!</v>
      </c>
      <c r="AG289" s="51" t="str">
        <f t="shared" si="262"/>
        <v>1-17.1109605274511i</v>
      </c>
      <c r="AH289" s="51">
        <f t="shared" si="281"/>
        <v>17.140156655409822</v>
      </c>
      <c r="AI289" s="51">
        <f t="shared" si="282"/>
        <v>-1.5124206538535701</v>
      </c>
      <c r="AJ289" s="51" t="str">
        <f t="shared" si="263"/>
        <v>1+0.0570365350915037i</v>
      </c>
      <c r="AK289" s="51">
        <f t="shared" si="283"/>
        <v>1.0016252624286412</v>
      </c>
      <c r="AL289" s="51">
        <f t="shared" si="284"/>
        <v>5.6974805757642799E-2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0.545714531365802+1.18093447955722i</v>
      </c>
      <c r="BG289" s="66">
        <f t="shared" si="300"/>
        <v>2.2850573541808581</v>
      </c>
      <c r="BH289" s="63">
        <f t="shared" si="301"/>
        <v>65.198153104760976</v>
      </c>
      <c r="BI289" s="60" t="e">
        <f t="shared" si="255"/>
        <v>#NUM!</v>
      </c>
      <c r="BJ289" s="66" t="e">
        <f t="shared" si="302"/>
        <v>#NUM!</v>
      </c>
      <c r="BK289" s="63" t="e">
        <f t="shared" si="256"/>
        <v>#NUM!</v>
      </c>
      <c r="BL289" s="51">
        <f t="shared" si="303"/>
        <v>2.2850573541808581</v>
      </c>
      <c r="BM289" s="63">
        <f t="shared" si="304"/>
        <v>65.198153104760976</v>
      </c>
    </row>
    <row r="290" spans="14:65" x14ac:dyDescent="0.3">
      <c r="N290" s="11">
        <v>72</v>
      </c>
      <c r="O290" s="52">
        <f t="shared" si="305"/>
        <v>5248.0746024977261</v>
      </c>
      <c r="P290" s="50" t="str">
        <f t="shared" si="257"/>
        <v>23.3035714285714</v>
      </c>
      <c r="Q290" s="18" t="str">
        <f t="shared" si="258"/>
        <v>1+12.5068042849524i</v>
      </c>
      <c r="R290" s="18">
        <f t="shared" si="269"/>
        <v>12.546718830917657</v>
      </c>
      <c r="S290" s="18">
        <f t="shared" si="270"/>
        <v>1.4910095881836334</v>
      </c>
      <c r="T290" s="18" t="str">
        <f t="shared" si="259"/>
        <v>1+0.0583650866631111i</v>
      </c>
      <c r="U290" s="18">
        <f t="shared" si="271"/>
        <v>1.001701793619834</v>
      </c>
      <c r="V290" s="18">
        <f t="shared" si="272"/>
        <v>5.8298948557779701E-2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0.0337798107920096-1.86497925499136i</v>
      </c>
      <c r="AD290" s="66">
        <f t="shared" si="278"/>
        <v>5.4149046622500538</v>
      </c>
      <c r="AE290" s="63">
        <f t="shared" si="279"/>
        <v>-88.96233216840092</v>
      </c>
      <c r="AF290" s="51" t="e">
        <f t="shared" si="280"/>
        <v>#NUM!</v>
      </c>
      <c r="AG290" s="51" t="str">
        <f t="shared" si="262"/>
        <v>1-17.5095259989334i</v>
      </c>
      <c r="AH290" s="51">
        <f t="shared" si="281"/>
        <v>17.538058635645072</v>
      </c>
      <c r="AI290" s="51">
        <f t="shared" si="282"/>
        <v>-1.5137465316407104</v>
      </c>
      <c r="AJ290" s="51" t="str">
        <f t="shared" si="263"/>
        <v>1+0.0583650866631111i</v>
      </c>
      <c r="AK290" s="51">
        <f t="shared" si="283"/>
        <v>1.001701793619834</v>
      </c>
      <c r="AL290" s="51">
        <f t="shared" si="284"/>
        <v>5.8298948557779701E-2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0.537392239528321+1.14929269481172i</v>
      </c>
      <c r="BG290" s="66">
        <f t="shared" si="300"/>
        <v>2.0673526289209194</v>
      </c>
      <c r="BH290" s="63">
        <f t="shared" si="301"/>
        <v>64.939905859843236</v>
      </c>
      <c r="BI290" s="60" t="e">
        <f t="shared" si="255"/>
        <v>#NUM!</v>
      </c>
      <c r="BJ290" s="66" t="e">
        <f t="shared" si="302"/>
        <v>#NUM!</v>
      </c>
      <c r="BK290" s="63" t="e">
        <f t="shared" si="256"/>
        <v>#NUM!</v>
      </c>
      <c r="BL290" s="51">
        <f t="shared" si="303"/>
        <v>2.0673526289209194</v>
      </c>
      <c r="BM290" s="63">
        <f t="shared" si="304"/>
        <v>64.939905859843236</v>
      </c>
    </row>
    <row r="291" spans="14:65" x14ac:dyDescent="0.3">
      <c r="N291" s="11">
        <v>73</v>
      </c>
      <c r="O291" s="52">
        <f t="shared" si="305"/>
        <v>5370.3179637025269</v>
      </c>
      <c r="P291" s="50" t="str">
        <f t="shared" si="257"/>
        <v>23.3035714285714</v>
      </c>
      <c r="Q291" s="18" t="str">
        <f t="shared" si="258"/>
        <v>1+12.7981251806187i</v>
      </c>
      <c r="R291" s="18">
        <f t="shared" si="269"/>
        <v>12.837133953448737</v>
      </c>
      <c r="S291" s="18">
        <f t="shared" si="270"/>
        <v>1.492818317736708</v>
      </c>
      <c r="T291" s="18" t="str">
        <f t="shared" si="259"/>
        <v>1+0.0597245841762204i</v>
      </c>
      <c r="U291" s="18">
        <f t="shared" si="271"/>
        <v>1.0017819253485374</v>
      </c>
      <c r="V291" s="18">
        <f t="shared" si="272"/>
        <v>5.9653722725983779E-2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0.0271161495041628-1.82325053269818i</v>
      </c>
      <c r="AD291" s="66">
        <f t="shared" si="278"/>
        <v>5.2178874874450454</v>
      </c>
      <c r="AE291" s="63">
        <f t="shared" si="279"/>
        <v>-89.147935864438651</v>
      </c>
      <c r="AF291" s="51" t="e">
        <f t="shared" si="280"/>
        <v>#NUM!</v>
      </c>
      <c r="AG291" s="51" t="str">
        <f t="shared" si="262"/>
        <v>1-17.9173752528662i</v>
      </c>
      <c r="AH291" s="51">
        <f t="shared" si="281"/>
        <v>17.945259428384482</v>
      </c>
      <c r="AI291" s="51">
        <f t="shared" si="282"/>
        <v>-1.5150424228232413</v>
      </c>
      <c r="AJ291" s="51" t="str">
        <f t="shared" si="263"/>
        <v>1+0.0597245841762204i</v>
      </c>
      <c r="AK291" s="51">
        <f t="shared" si="283"/>
        <v>1.0017819253485374</v>
      </c>
      <c r="AL291" s="51">
        <f t="shared" si="284"/>
        <v>5.9653722725983779E-2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0.529345264481789+1.11833785847715i</v>
      </c>
      <c r="BG291" s="66">
        <f t="shared" si="300"/>
        <v>1.8494284426545362</v>
      </c>
      <c r="BH291" s="63">
        <f t="shared" si="301"/>
        <v>64.670301219092309</v>
      </c>
      <c r="BI291" s="60" t="e">
        <f t="shared" si="255"/>
        <v>#NUM!</v>
      </c>
      <c r="BJ291" s="66" t="e">
        <f t="shared" si="302"/>
        <v>#NUM!</v>
      </c>
      <c r="BK291" s="63" t="e">
        <f t="shared" si="256"/>
        <v>#NUM!</v>
      </c>
      <c r="BL291" s="51">
        <f t="shared" si="303"/>
        <v>1.8494284426545362</v>
      </c>
      <c r="BM291" s="63">
        <f t="shared" si="304"/>
        <v>64.670301219092309</v>
      </c>
    </row>
    <row r="292" spans="14:65" x14ac:dyDescent="0.3">
      <c r="N292" s="11">
        <v>74</v>
      </c>
      <c r="O292" s="52">
        <f t="shared" si="305"/>
        <v>5495.4087385762541</v>
      </c>
      <c r="P292" s="50" t="str">
        <f t="shared" si="257"/>
        <v>23.3035714285714</v>
      </c>
      <c r="Q292" s="18" t="str">
        <f t="shared" si="258"/>
        <v>1+13.0962318116589i</v>
      </c>
      <c r="R292" s="18">
        <f t="shared" si="269"/>
        <v>13.134355243585675</v>
      </c>
      <c r="S292" s="18">
        <f t="shared" si="270"/>
        <v>1.494586369726465</v>
      </c>
      <c r="T292" s="18" t="str">
        <f t="shared" si="259"/>
        <v>1+0.0611157484544085i</v>
      </c>
      <c r="U292" s="18">
        <f t="shared" si="271"/>
        <v>1.0018658266999343</v>
      </c>
      <c r="V292" s="18">
        <f t="shared" si="272"/>
        <v>6.1039826677644862E-2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0.0207480355642998-1.78244194317404i</v>
      </c>
      <c r="AD292" s="66">
        <f t="shared" si="278"/>
        <v>5.0208962698690733</v>
      </c>
      <c r="AE292" s="63">
        <f t="shared" si="279"/>
        <v>-89.333094023661019</v>
      </c>
      <c r="AF292" s="51" t="e">
        <f t="shared" si="280"/>
        <v>#NUM!</v>
      </c>
      <c r="AG292" s="51" t="str">
        <f t="shared" si="262"/>
        <v>1-18.3347245363226i</v>
      </c>
      <c r="AH292" s="51">
        <f t="shared" si="281"/>
        <v>18.361974943421252</v>
      </c>
      <c r="AI292" s="51">
        <f t="shared" si="282"/>
        <v>-1.5163089970800934</v>
      </c>
      <c r="AJ292" s="51" t="str">
        <f t="shared" si="263"/>
        <v>1+0.0611157484544085i</v>
      </c>
      <c r="AK292" s="51">
        <f t="shared" si="283"/>
        <v>1.0018658266999343</v>
      </c>
      <c r="AL292" s="51">
        <f t="shared" si="284"/>
        <v>6.1039826677644862E-2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0.521558009682235+1.08805175251782i</v>
      </c>
      <c r="BG292" s="66">
        <f t="shared" si="300"/>
        <v>1.6312539314936028</v>
      </c>
      <c r="BH292" s="63">
        <f t="shared" si="301"/>
        <v>64.389253045770232</v>
      </c>
      <c r="BI292" s="60" t="e">
        <f t="shared" si="255"/>
        <v>#NUM!</v>
      </c>
      <c r="BJ292" s="66" t="e">
        <f t="shared" si="302"/>
        <v>#NUM!</v>
      </c>
      <c r="BK292" s="63" t="e">
        <f t="shared" si="256"/>
        <v>#NUM!</v>
      </c>
      <c r="BL292" s="51">
        <f t="shared" si="303"/>
        <v>1.6312539314936028</v>
      </c>
      <c r="BM292" s="63">
        <f t="shared" si="304"/>
        <v>64.389253045770232</v>
      </c>
    </row>
    <row r="293" spans="14:65" x14ac:dyDescent="0.3">
      <c r="N293" s="11">
        <v>75</v>
      </c>
      <c r="O293" s="52">
        <f t="shared" si="305"/>
        <v>5623.4132519034993</v>
      </c>
      <c r="P293" s="50" t="str">
        <f t="shared" si="257"/>
        <v>23.3035714285714</v>
      </c>
      <c r="Q293" s="18" t="str">
        <f t="shared" si="258"/>
        <v>1+13.4012822381549i</v>
      </c>
      <c r="R293" s="18">
        <f t="shared" si="269"/>
        <v>13.438540308630474</v>
      </c>
      <c r="S293" s="18">
        <f t="shared" si="270"/>
        <v>1.4963146373572078</v>
      </c>
      <c r="T293" s="18" t="str">
        <f t="shared" si="259"/>
        <v>1+0.0625393171113895i</v>
      </c>
      <c r="U293" s="18">
        <f t="shared" si="271"/>
        <v>1.0019536746700213</v>
      </c>
      <c r="V293" s="18">
        <f t="shared" si="272"/>
        <v>6.2457974026593546E-2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0.0146624391026898-1.74253491811977i</v>
      </c>
      <c r="AD293" s="66">
        <f t="shared" si="278"/>
        <v>4.8239372720904345</v>
      </c>
      <c r="AE293" s="63">
        <f t="shared" si="279"/>
        <v>-89.517900018498437</v>
      </c>
      <c r="AF293" s="51" t="e">
        <f t="shared" si="280"/>
        <v>#NUM!</v>
      </c>
      <c r="AG293" s="51" t="str">
        <f t="shared" si="262"/>
        <v>1-18.7617951334169i</v>
      </c>
      <c r="AH293" s="51">
        <f t="shared" si="281"/>
        <v>18.788426134945581</v>
      </c>
      <c r="AI293" s="51">
        <f t="shared" si="282"/>
        <v>-1.5175469097016823</v>
      </c>
      <c r="AJ293" s="51" t="str">
        <f t="shared" si="263"/>
        <v>1+0.0625393171113895i</v>
      </c>
      <c r="AK293" s="51">
        <f t="shared" si="283"/>
        <v>1.0019536746700213</v>
      </c>
      <c r="AL293" s="51">
        <f t="shared" si="284"/>
        <v>6.2457974026593546E-2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0.514015459186326+1.0584168224026i</v>
      </c>
      <c r="BG293" s="66">
        <f t="shared" si="300"/>
        <v>1.4127980470484958</v>
      </c>
      <c r="BH293" s="63">
        <f t="shared" si="301"/>
        <v>64.096676873385064</v>
      </c>
      <c r="BI293" s="60" t="e">
        <f t="shared" si="255"/>
        <v>#NUM!</v>
      </c>
      <c r="BJ293" s="66" t="e">
        <f t="shared" si="302"/>
        <v>#NUM!</v>
      </c>
      <c r="BK293" s="63" t="e">
        <f t="shared" si="256"/>
        <v>#NUM!</v>
      </c>
      <c r="BL293" s="51">
        <f t="shared" si="303"/>
        <v>1.4127980470484958</v>
      </c>
      <c r="BM293" s="63">
        <f t="shared" si="304"/>
        <v>64.096676873385064</v>
      </c>
    </row>
    <row r="294" spans="14:65" x14ac:dyDescent="0.3">
      <c r="N294" s="11">
        <v>76</v>
      </c>
      <c r="O294" s="52">
        <f t="shared" si="305"/>
        <v>5754.399373371567</v>
      </c>
      <c r="P294" s="50" t="str">
        <f t="shared" si="257"/>
        <v>23.3035714285714</v>
      </c>
      <c r="Q294" s="18" t="str">
        <f t="shared" si="258"/>
        <v>1+13.7134382018804i</v>
      </c>
      <c r="R294" s="18">
        <f t="shared" si="269"/>
        <v>13.749850447070061</v>
      </c>
      <c r="S294" s="18">
        <f t="shared" si="270"/>
        <v>1.4980039956587763</v>
      </c>
      <c r="T294" s="18" t="str">
        <f t="shared" si="259"/>
        <v>1+0.0639960449421086i</v>
      </c>
      <c r="U294" s="18">
        <f t="shared" si="271"/>
        <v>1.0020456545328822</v>
      </c>
      <c r="V294" s="18">
        <f t="shared" si="272"/>
        <v>6.390889386368262E-2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0.00884688796723787-1.70351116595041i</v>
      </c>
      <c r="AD294" s="66">
        <f t="shared" si="278"/>
        <v>4.6270168217657446</v>
      </c>
      <c r="AE294" s="63">
        <f t="shared" si="279"/>
        <v>-89.702447042607346</v>
      </c>
      <c r="AF294" s="51" t="e">
        <f t="shared" si="280"/>
        <v>#NUM!</v>
      </c>
      <c r="AG294" s="51" t="str">
        <f t="shared" si="262"/>
        <v>1-19.1988134826326i</v>
      </c>
      <c r="AH294" s="51">
        <f t="shared" si="281"/>
        <v>19.224839118726461</v>
      </c>
      <c r="AI294" s="51">
        <f t="shared" si="282"/>
        <v>-1.5187568018609707</v>
      </c>
      <c r="AJ294" s="51" t="str">
        <f t="shared" si="263"/>
        <v>1+0.0639960449421086i</v>
      </c>
      <c r="AK294" s="51">
        <f t="shared" si="283"/>
        <v>1.0020456545328822</v>
      </c>
      <c r="AL294" s="51">
        <f t="shared" si="284"/>
        <v>6.390889386368262E-2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0.506703155605285+1.02941615674161i</v>
      </c>
      <c r="BG294" s="66">
        <f t="shared" si="300"/>
        <v>1.1940295412785427</v>
      </c>
      <c r="BH294" s="63">
        <f t="shared" si="301"/>
        <v>63.792490039480747</v>
      </c>
      <c r="BI294" s="60" t="e">
        <f t="shared" si="255"/>
        <v>#NUM!</v>
      </c>
      <c r="BJ294" s="66" t="e">
        <f t="shared" si="302"/>
        <v>#NUM!</v>
      </c>
      <c r="BK294" s="63" t="e">
        <f t="shared" si="256"/>
        <v>#NUM!</v>
      </c>
      <c r="BL294" s="51">
        <f t="shared" si="303"/>
        <v>1.1940295412785427</v>
      </c>
      <c r="BM294" s="63">
        <f t="shared" si="304"/>
        <v>63.792490039480747</v>
      </c>
    </row>
    <row r="295" spans="14:65" x14ac:dyDescent="0.3">
      <c r="N295" s="11">
        <v>77</v>
      </c>
      <c r="O295" s="52">
        <f t="shared" si="305"/>
        <v>5888.4365535558973</v>
      </c>
      <c r="P295" s="50" t="str">
        <f t="shared" si="257"/>
        <v>23.3035714285714</v>
      </c>
      <c r="Q295" s="18" t="str">
        <f t="shared" si="258"/>
        <v>1+14.0328652120594i</v>
      </c>
      <c r="R295" s="18">
        <f t="shared" si="269"/>
        <v>14.06845073417208</v>
      </c>
      <c r="S295" s="18">
        <f t="shared" si="270"/>
        <v>1.4996553017591931</v>
      </c>
      <c r="T295" s="18" t="str">
        <f t="shared" si="259"/>
        <v>1+0.0654867043229441i</v>
      </c>
      <c r="U295" s="18">
        <f t="shared" si="271"/>
        <v>1.0021419602247381</v>
      </c>
      <c r="V295" s="18">
        <f t="shared" si="272"/>
        <v>6.5393331036590077E-2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0.00328944486683598-1.66535267509828i</v>
      </c>
      <c r="AD295" s="66">
        <f t="shared" si="278"/>
        <v>4.4301413240410641</v>
      </c>
      <c r="AE295" s="63">
        <f t="shared" si="279"/>
        <v>-89.886828138254543</v>
      </c>
      <c r="AF295" s="51" t="e">
        <f t="shared" si="280"/>
        <v>#NUM!</v>
      </c>
      <c r="AG295" s="51" t="str">
        <f t="shared" si="262"/>
        <v>1-19.6460112968833i</v>
      </c>
      <c r="AH295" s="51">
        <f t="shared" si="281"/>
        <v>19.671445292028402</v>
      </c>
      <c r="AI295" s="51">
        <f t="shared" si="282"/>
        <v>-1.5199393008820621</v>
      </c>
      <c r="AJ295" s="51" t="str">
        <f t="shared" si="263"/>
        <v>1+0.0654867043229441i</v>
      </c>
      <c r="AK295" s="51">
        <f t="shared" si="283"/>
        <v>1.0021419602247381</v>
      </c>
      <c r="AL295" s="51">
        <f t="shared" si="284"/>
        <v>6.5393331036590077E-2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0.499607179241037+1.00103346815069i</v>
      </c>
      <c r="BG295" s="66">
        <f t="shared" si="300"/>
        <v>0.97491695295978897</v>
      </c>
      <c r="BH295" s="63">
        <f t="shared" si="301"/>
        <v>63.47661183868626</v>
      </c>
      <c r="BI295" s="60" t="e">
        <f t="shared" si="255"/>
        <v>#NUM!</v>
      </c>
      <c r="BJ295" s="66" t="e">
        <f t="shared" si="302"/>
        <v>#NUM!</v>
      </c>
      <c r="BK295" s="63" t="e">
        <f t="shared" si="256"/>
        <v>#NUM!</v>
      </c>
      <c r="BL295" s="51">
        <f t="shared" si="303"/>
        <v>0.97491695295978897</v>
      </c>
      <c r="BM295" s="63">
        <f t="shared" si="304"/>
        <v>63.47661183868626</v>
      </c>
    </row>
    <row r="296" spans="14:65" x14ac:dyDescent="0.3">
      <c r="N296" s="11">
        <v>78</v>
      </c>
      <c r="O296" s="52">
        <f t="shared" si="305"/>
        <v>6025.595860743585</v>
      </c>
      <c r="P296" s="50" t="str">
        <f t="shared" si="257"/>
        <v>23.3035714285714</v>
      </c>
      <c r="Q296" s="18" t="str">
        <f t="shared" si="258"/>
        <v>1+14.3597326331208i</v>
      </c>
      <c r="R296" s="18">
        <f t="shared" si="269"/>
        <v>14.394510109576997</v>
      </c>
      <c r="S296" s="18">
        <f t="shared" si="270"/>
        <v>1.501269395160199</v>
      </c>
      <c r="T296" s="18" t="str">
        <f t="shared" si="259"/>
        <v>1+0.0670120856212304i</v>
      </c>
      <c r="U296" s="18">
        <f t="shared" si="271"/>
        <v>1.0022427947455184</v>
      </c>
      <c r="V296" s="18">
        <f t="shared" si="272"/>
        <v>6.6912046430511699E-2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-0.00202131465949465-1.62804171663956i</v>
      </c>
      <c r="AD296" s="66">
        <f t="shared" si="278"/>
        <v>4.2333172740837686</v>
      </c>
      <c r="AE296" s="63">
        <f t="shared" si="279"/>
        <v>-90.071136223578165</v>
      </c>
      <c r="AF296" s="51" t="e">
        <f t="shared" si="280"/>
        <v>#NUM!</v>
      </c>
      <c r="AG296" s="51" t="str">
        <f t="shared" si="262"/>
        <v>1-20.1036256863692i</v>
      </c>
      <c r="AH296" s="51">
        <f t="shared" si="281"/>
        <v>20.128481456325598</v>
      </c>
      <c r="AI296" s="51">
        <f t="shared" si="282"/>
        <v>-1.5210950205061378</v>
      </c>
      <c r="AJ296" s="51" t="str">
        <f t="shared" si="263"/>
        <v>1+0.0670120856212304i</v>
      </c>
      <c r="AK296" s="51">
        <f t="shared" si="283"/>
        <v>1.0022427947455184</v>
      </c>
      <c r="AL296" s="51">
        <f t="shared" si="284"/>
        <v>6.6912046430511699E-2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0.492714128400531+0.973253075257495i</v>
      </c>
      <c r="BG296" s="66">
        <f t="shared" si="300"/>
        <v>0.75542859598149714</v>
      </c>
      <c r="BH296" s="63">
        <f t="shared" si="301"/>
        <v>63.148963694775517</v>
      </c>
      <c r="BI296" s="60" t="e">
        <f t="shared" si="255"/>
        <v>#NUM!</v>
      </c>
      <c r="BJ296" s="66" t="e">
        <f t="shared" si="302"/>
        <v>#NUM!</v>
      </c>
      <c r="BK296" s="63" t="e">
        <f t="shared" si="256"/>
        <v>#NUM!</v>
      </c>
      <c r="BL296" s="51">
        <f t="shared" si="303"/>
        <v>0.75542859598149714</v>
      </c>
      <c r="BM296" s="63">
        <f t="shared" si="304"/>
        <v>63.148963694775517</v>
      </c>
    </row>
    <row r="297" spans="14:65" x14ac:dyDescent="0.3">
      <c r="N297" s="11">
        <v>79</v>
      </c>
      <c r="O297" s="52">
        <f t="shared" si="305"/>
        <v>6165.9500186148289</v>
      </c>
      <c r="P297" s="50" t="str">
        <f t="shared" si="257"/>
        <v>23.3035714285714</v>
      </c>
      <c r="Q297" s="18" t="str">
        <f t="shared" si="258"/>
        <v>1+14.6942137744978i</v>
      </c>
      <c r="R297" s="18">
        <f t="shared" si="269"/>
        <v>14.728201466935495</v>
      </c>
      <c r="S297" s="18">
        <f t="shared" si="270"/>
        <v>1.5028470980150432</v>
      </c>
      <c r="T297" s="18" t="str">
        <f t="shared" si="259"/>
        <v>1+0.068572997614323i</v>
      </c>
      <c r="U297" s="18">
        <f t="shared" si="271"/>
        <v>1.0023483705787195</v>
      </c>
      <c r="V297" s="18">
        <f t="shared" si="272"/>
        <v>6.8465817249382971E-2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-0.00709632346819345-1.59156084629573i</v>
      </c>
      <c r="AD297" s="66">
        <f t="shared" si="278"/>
        <v>4.036551269761687</v>
      </c>
      <c r="AE297" s="63">
        <f t="shared" si="279"/>
        <v>-90.255464119646348</v>
      </c>
      <c r="AF297" s="51" t="e">
        <f t="shared" si="280"/>
        <v>#NUM!</v>
      </c>
      <c r="AG297" s="51" t="str">
        <f t="shared" si="262"/>
        <v>1-20.5718992842969i</v>
      </c>
      <c r="AH297" s="51">
        <f t="shared" si="281"/>
        <v>20.596189942881558</v>
      </c>
      <c r="AI297" s="51">
        <f t="shared" si="282"/>
        <v>-1.5222245611545824</v>
      </c>
      <c r="AJ297" s="51" t="str">
        <f t="shared" si="263"/>
        <v>1+0.068572997614323i</v>
      </c>
      <c r="AK297" s="51">
        <f t="shared" si="283"/>
        <v>1.0023483705787195</v>
      </c>
      <c r="AL297" s="51">
        <f t="shared" si="284"/>
        <v>6.8465817249382971E-2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0.486011100882693+0.946059885764104i</v>
      </c>
      <c r="BG297" s="66">
        <f t="shared" si="300"/>
        <v>0.5355325496836395</v>
      </c>
      <c r="BH297" s="63">
        <f t="shared" si="301"/>
        <v>62.809469351435922</v>
      </c>
      <c r="BI297" s="60" t="e">
        <f t="shared" si="255"/>
        <v>#NUM!</v>
      </c>
      <c r="BJ297" s="66" t="e">
        <f t="shared" si="302"/>
        <v>#NUM!</v>
      </c>
      <c r="BK297" s="63" t="e">
        <f t="shared" si="256"/>
        <v>#NUM!</v>
      </c>
      <c r="BL297" s="51">
        <f t="shared" si="303"/>
        <v>0.5355325496836395</v>
      </c>
      <c r="BM297" s="63">
        <f t="shared" si="304"/>
        <v>62.809469351435922</v>
      </c>
    </row>
    <row r="298" spans="14:65" x14ac:dyDescent="0.3">
      <c r="N298" s="11">
        <v>80</v>
      </c>
      <c r="O298" s="52">
        <f t="shared" si="305"/>
        <v>6309.5734448019384</v>
      </c>
      <c r="P298" s="50" t="str">
        <f t="shared" si="257"/>
        <v>23.3035714285714</v>
      </c>
      <c r="Q298" s="18" t="str">
        <f t="shared" si="258"/>
        <v>1+15.0364859825189i</v>
      </c>
      <c r="R298" s="18">
        <f t="shared" si="269"/>
        <v>15.06970174563808</v>
      </c>
      <c r="S298" s="18">
        <f t="shared" si="270"/>
        <v>1.504389215407939</v>
      </c>
      <c r="T298" s="18" t="str">
        <f t="shared" si="259"/>
        <v>1+0.0701702679184215i</v>
      </c>
      <c r="U298" s="18">
        <f t="shared" si="271"/>
        <v>1.0024589101303569</v>
      </c>
      <c r="V298" s="18">
        <f t="shared" si="272"/>
        <v>7.0055437297225936E-2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-0.0119460432524574-1.55589290585836i</v>
      </c>
      <c r="AD298" s="66">
        <f t="shared" si="278"/>
        <v>3.8398500244875757</v>
      </c>
      <c r="AE298" s="63">
        <f t="shared" si="279"/>
        <v>-90.43990457723325</v>
      </c>
      <c r="AF298" s="51" t="e">
        <f t="shared" si="280"/>
        <v>#NUM!</v>
      </c>
      <c r="AG298" s="51" t="str">
        <f t="shared" si="262"/>
        <v>1-21.0510803755265i</v>
      </c>
      <c r="AH298" s="51">
        <f t="shared" si="281"/>
        <v>21.074818741257943</v>
      </c>
      <c r="AI298" s="51">
        <f t="shared" si="282"/>
        <v>-1.5233285101891452</v>
      </c>
      <c r="AJ298" s="51" t="str">
        <f t="shared" si="263"/>
        <v>1+0.0701702679184215i</v>
      </c>
      <c r="AK298" s="51">
        <f t="shared" si="283"/>
        <v>1.0024589101303569</v>
      </c>
      <c r="AL298" s="51">
        <f t="shared" si="284"/>
        <v>7.0055437297225936E-2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0.47948567663131+0.919439380482103i</v>
      </c>
      <c r="BG298" s="66">
        <f t="shared" si="300"/>
        <v>0.31519665145117509</v>
      </c>
      <c r="BH298" s="63">
        <f t="shared" si="301"/>
        <v>62.458055081371214</v>
      </c>
      <c r="BI298" s="60" t="e">
        <f t="shared" si="255"/>
        <v>#NUM!</v>
      </c>
      <c r="BJ298" s="66" t="e">
        <f t="shared" si="302"/>
        <v>#NUM!</v>
      </c>
      <c r="BK298" s="63" t="e">
        <f t="shared" si="256"/>
        <v>#NUM!</v>
      </c>
      <c r="BL298" s="51">
        <f t="shared" si="303"/>
        <v>0.31519665145117509</v>
      </c>
      <c r="BM298" s="63">
        <f t="shared" si="304"/>
        <v>62.458055081371214</v>
      </c>
    </row>
    <row r="299" spans="14:65" x14ac:dyDescent="0.3">
      <c r="N299" s="11">
        <v>81</v>
      </c>
      <c r="O299" s="52">
        <f t="shared" si="305"/>
        <v>6456.5422903465615</v>
      </c>
      <c r="P299" s="50" t="str">
        <f t="shared" si="257"/>
        <v>23.3035714285714</v>
      </c>
      <c r="Q299" s="18" t="str">
        <f t="shared" si="258"/>
        <v>1+15.3867307344394i</v>
      </c>
      <c r="R299" s="18">
        <f t="shared" si="269"/>
        <v>15.419192024686055</v>
      </c>
      <c r="S299" s="18">
        <f t="shared" si="270"/>
        <v>1.5058965356346385</v>
      </c>
      <c r="T299" s="18" t="str">
        <f t="shared" si="259"/>
        <v>1+0.0718047434273839i</v>
      </c>
      <c r="U299" s="18">
        <f t="shared" si="271"/>
        <v>1.00257464618784</v>
      </c>
      <c r="V299" s="18">
        <f t="shared" si="272"/>
        <v>7.1681717259192423E-2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-0.0165804842205642-1.52102102408278i</v>
      </c>
      <c r="AD299" s="66">
        <f t="shared" si="278"/>
        <v>3.6432203802474645</v>
      </c>
      <c r="AE299" s="63">
        <f t="shared" si="279"/>
        <v>-90.62455030323207</v>
      </c>
      <c r="AF299" s="51" t="e">
        <f t="shared" si="280"/>
        <v>#NUM!</v>
      </c>
      <c r="AG299" s="51" t="str">
        <f t="shared" si="262"/>
        <v>1-21.5414230282152i</v>
      </c>
      <c r="AH299" s="51">
        <f t="shared" si="281"/>
        <v>21.564621630822089</v>
      </c>
      <c r="AI299" s="51">
        <f t="shared" si="282"/>
        <v>-1.5244074421690066</v>
      </c>
      <c r="AJ299" s="51" t="str">
        <f t="shared" si="263"/>
        <v>1+0.0718047434273839i</v>
      </c>
      <c r="AK299" s="51">
        <f t="shared" si="283"/>
        <v>1.00257464618784</v>
      </c>
      <c r="AL299" s="51">
        <f t="shared" si="284"/>
        <v>7.1681717259192423E-2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0.473125901545786+0.893377598257297i</v>
      </c>
      <c r="BG299" s="66">
        <f t="shared" si="300"/>
        <v>9.438849178711492E-2</v>
      </c>
      <c r="BH299" s="63">
        <f t="shared" si="301"/>
        <v>62.09464991329741</v>
      </c>
      <c r="BI299" s="60" t="e">
        <f t="shared" si="255"/>
        <v>#NUM!</v>
      </c>
      <c r="BJ299" s="66" t="e">
        <f t="shared" si="302"/>
        <v>#NUM!</v>
      </c>
      <c r="BK299" s="63" t="e">
        <f t="shared" si="256"/>
        <v>#NUM!</v>
      </c>
      <c r="BL299" s="51">
        <f t="shared" si="303"/>
        <v>9.438849178711492E-2</v>
      </c>
      <c r="BM299" s="63">
        <f t="shared" si="304"/>
        <v>62.09464991329741</v>
      </c>
    </row>
    <row r="300" spans="14:65" x14ac:dyDescent="0.3">
      <c r="N300" s="11">
        <v>82</v>
      </c>
      <c r="O300" s="52">
        <f t="shared" si="305"/>
        <v>6606.9344800759654</v>
      </c>
      <c r="P300" s="50" t="str">
        <f t="shared" si="257"/>
        <v>23.3035714285714</v>
      </c>
      <c r="Q300" s="18" t="str">
        <f t="shared" si="258"/>
        <v>1+15.7451337346627i</v>
      </c>
      <c r="R300" s="18">
        <f t="shared" si="269"/>
        <v>15.776857618753278</v>
      </c>
      <c r="S300" s="18">
        <f t="shared" si="270"/>
        <v>1.5073698304836245</v>
      </c>
      <c r="T300" s="18" t="str">
        <f t="shared" si="259"/>
        <v>1+0.0734772907617594i</v>
      </c>
      <c r="U300" s="18">
        <f t="shared" si="271"/>
        <v>1.0026958223996389</v>
      </c>
      <c r="V300" s="18">
        <f t="shared" si="272"/>
        <v>7.3345484981824832E-2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-0.0210092240327594-1.48692861709315i</v>
      </c>
      <c r="AD300" s="66">
        <f t="shared" si="278"/>
        <v>3.4466693208305572</v>
      </c>
      <c r="AE300" s="63">
        <f t="shared" si="279"/>
        <v>-90.809493986622698</v>
      </c>
      <c r="AF300" s="51" t="e">
        <f t="shared" si="280"/>
        <v>#NUM!</v>
      </c>
      <c r="AG300" s="51" t="str">
        <f t="shared" si="262"/>
        <v>1-22.0431872285279i</v>
      </c>
      <c r="AH300" s="51">
        <f t="shared" si="281"/>
        <v>22.065858315323599</v>
      </c>
      <c r="AI300" s="51">
        <f t="shared" si="282"/>
        <v>-1.5254619191046417</v>
      </c>
      <c r="AJ300" s="51" t="str">
        <f t="shared" si="263"/>
        <v>1+0.0734772907617594i</v>
      </c>
      <c r="AK300" s="51">
        <f t="shared" si="283"/>
        <v>1.0026958223996389</v>
      </c>
      <c r="AL300" s="51">
        <f t="shared" si="284"/>
        <v>7.3345484981824832E-2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0.4669202724401+0.867861121701562i</v>
      </c>
      <c r="BG300" s="66">
        <f t="shared" si="300"/>
        <v>-0.1269245879125189</v>
      </c>
      <c r="BH300" s="63">
        <f t="shared" si="301"/>
        <v>61.719185876306653</v>
      </c>
      <c r="BI300" s="60" t="e">
        <f t="shared" si="255"/>
        <v>#NUM!</v>
      </c>
      <c r="BJ300" s="66" t="e">
        <f t="shared" si="302"/>
        <v>#NUM!</v>
      </c>
      <c r="BK300" s="63" t="e">
        <f t="shared" si="256"/>
        <v>#NUM!</v>
      </c>
      <c r="BL300" s="51">
        <f t="shared" si="303"/>
        <v>-0.1269245879125189</v>
      </c>
      <c r="BM300" s="63">
        <f t="shared" si="304"/>
        <v>61.719185876306653</v>
      </c>
    </row>
    <row r="301" spans="14:65" x14ac:dyDescent="0.3">
      <c r="N301" s="11">
        <v>83</v>
      </c>
      <c r="O301" s="52">
        <f t="shared" si="305"/>
        <v>6760.8297539198229</v>
      </c>
      <c r="P301" s="50" t="str">
        <f t="shared" si="257"/>
        <v>23.3035714285714</v>
      </c>
      <c r="Q301" s="18" t="str">
        <f t="shared" si="258"/>
        <v>1+16.1118850132037i</v>
      </c>
      <c r="R301" s="18">
        <f t="shared" si="269"/>
        <v>16.142888176491155</v>
      </c>
      <c r="S301" s="18">
        <f t="shared" si="270"/>
        <v>1.5088098555174643</v>
      </c>
      <c r="T301" s="18" t="str">
        <f t="shared" si="259"/>
        <v>1+0.0751887967282838i</v>
      </c>
      <c r="U301" s="18">
        <f t="shared" si="271"/>
        <v>1.0028226937766453</v>
      </c>
      <c r="V301" s="18">
        <f t="shared" si="272"/>
        <v>7.50475857520259E-2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-0.025241426018394-1.45359938833871i</v>
      </c>
      <c r="AD301" s="66">
        <f t="shared" si="278"/>
        <v>3.2502039852781635</v>
      </c>
      <c r="AE301" s="63">
        <f t="shared" si="279"/>
        <v>-90.99482832391196</v>
      </c>
      <c r="AF301" s="51" t="e">
        <f t="shared" si="280"/>
        <v>#NUM!</v>
      </c>
      <c r="AG301" s="51" t="str">
        <f t="shared" si="262"/>
        <v>1-22.5566390184852i</v>
      </c>
      <c r="AH301" s="51">
        <f t="shared" si="281"/>
        <v>22.57879456061038</v>
      </c>
      <c r="AI301" s="51">
        <f t="shared" si="282"/>
        <v>-1.5264924907083774</v>
      </c>
      <c r="AJ301" s="51" t="str">
        <f t="shared" si="263"/>
        <v>1+0.0751887967282838i</v>
      </c>
      <c r="AK301" s="51">
        <f t="shared" si="283"/>
        <v>1.0028226937766453</v>
      </c>
      <c r="AL301" s="51">
        <f t="shared" si="284"/>
        <v>7.50475857520259E-2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0.460857723138602+0.842877063649897i</v>
      </c>
      <c r="BG301" s="66">
        <f t="shared" si="300"/>
        <v>-0.34877549465501456</v>
      </c>
      <c r="BH301" s="63">
        <f t="shared" si="301"/>
        <v>61.331598260985196</v>
      </c>
      <c r="BI301" s="60" t="e">
        <f t="shared" si="255"/>
        <v>#NUM!</v>
      </c>
      <c r="BJ301" s="66" t="e">
        <f t="shared" si="302"/>
        <v>#NUM!</v>
      </c>
      <c r="BK301" s="63" t="e">
        <f t="shared" si="256"/>
        <v>#NUM!</v>
      </c>
      <c r="BL301" s="51">
        <f t="shared" si="303"/>
        <v>-0.34877549465501456</v>
      </c>
      <c r="BM301" s="63">
        <f t="shared" si="304"/>
        <v>61.331598260985196</v>
      </c>
    </row>
    <row r="302" spans="14:65" x14ac:dyDescent="0.3">
      <c r="N302" s="11">
        <v>84</v>
      </c>
      <c r="O302" s="52">
        <f t="shared" si="305"/>
        <v>6918.3097091893687</v>
      </c>
      <c r="P302" s="50" t="str">
        <f t="shared" si="257"/>
        <v>23.3035714285714</v>
      </c>
      <c r="Q302" s="18" t="str">
        <f t="shared" si="258"/>
        <v>1+16.4871790264446i</v>
      </c>
      <c r="R302" s="18">
        <f t="shared" si="269"/>
        <v>16.517477781127322</v>
      </c>
      <c r="S302" s="18">
        <f t="shared" si="270"/>
        <v>1.5102173503538971</v>
      </c>
      <c r="T302" s="18" t="str">
        <f t="shared" si="259"/>
        <v>1+0.0769401687900749i</v>
      </c>
      <c r="U302" s="18">
        <f t="shared" si="271"/>
        <v>1.0029555272161599</v>
      </c>
      <c r="V302" s="18">
        <f t="shared" si="272"/>
        <v>7.6788882574172213E-2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-0.0292858566949642-1.4210173281386i</v>
      </c>
      <c r="AD302" s="66">
        <f t="shared" si="278"/>
        <v>3.0538316815700366</v>
      </c>
      <c r="AE302" s="63">
        <f t="shared" si="279"/>
        <v>-91.180646043960394</v>
      </c>
      <c r="AF302" s="51" t="e">
        <f t="shared" si="280"/>
        <v>#NUM!</v>
      </c>
      <c r="AG302" s="51" t="str">
        <f t="shared" si="262"/>
        <v>1-23.0820506370225i</v>
      </c>
      <c r="AH302" s="51">
        <f t="shared" si="281"/>
        <v>23.103702335558058</v>
      </c>
      <c r="AI302" s="51">
        <f t="shared" si="282"/>
        <v>-1.5274996946415573</v>
      </c>
      <c r="AJ302" s="51" t="str">
        <f t="shared" si="263"/>
        <v>1+0.0769401687900749i</v>
      </c>
      <c r="AK302" s="51">
        <f t="shared" si="283"/>
        <v>1.0029555272161599</v>
      </c>
      <c r="AL302" s="51">
        <f t="shared" si="284"/>
        <v>7.6788882574172213E-2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0.454927611695265+0.818413054261071i</v>
      </c>
      <c r="BG302" s="66">
        <f t="shared" si="300"/>
        <v>-0.57119737998906306</v>
      </c>
      <c r="BH302" s="63">
        <f t="shared" si="301"/>
        <v>60.931825896579056</v>
      </c>
      <c r="BI302" s="60" t="e">
        <f t="shared" si="255"/>
        <v>#NUM!</v>
      </c>
      <c r="BJ302" s="66" t="e">
        <f t="shared" si="302"/>
        <v>#NUM!</v>
      </c>
      <c r="BK302" s="63" t="e">
        <f t="shared" si="256"/>
        <v>#NUM!</v>
      </c>
      <c r="BL302" s="51">
        <f t="shared" si="303"/>
        <v>-0.57119737998906306</v>
      </c>
      <c r="BM302" s="63">
        <f t="shared" si="304"/>
        <v>60.931825896579056</v>
      </c>
    </row>
    <row r="303" spans="14:65" x14ac:dyDescent="0.3">
      <c r="N303" s="11">
        <v>85</v>
      </c>
      <c r="O303" s="52">
        <f t="shared" si="305"/>
        <v>7079.4578438413828</v>
      </c>
      <c r="P303" s="50" t="str">
        <f t="shared" si="257"/>
        <v>23.3035714285714</v>
      </c>
      <c r="Q303" s="18" t="str">
        <f t="shared" si="258"/>
        <v>1+16.871214760239i</v>
      </c>
      <c r="R303" s="18">
        <f t="shared" si="269"/>
        <v>16.900825053413996</v>
      </c>
      <c r="S303" s="18">
        <f t="shared" si="270"/>
        <v>1.5115930389462744</v>
      </c>
      <c r="T303" s="18" t="str">
        <f t="shared" si="259"/>
        <v>1+0.0787323355477819i</v>
      </c>
      <c r="U303" s="18">
        <f t="shared" si="271"/>
        <v>1.003094602049482</v>
      </c>
      <c r="V303" s="18">
        <f t="shared" si="272"/>
        <v>7.8570256444769906E-2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-0.0331509026107379-1.38916671284991i</v>
      </c>
      <c r="AD303" s="66">
        <f t="shared" si="278"/>
        <v>2.8575599005645436</v>
      </c>
      <c r="AE303" s="63">
        <f t="shared" si="279"/>
        <v>-91.367039932110345</v>
      </c>
      <c r="AF303" s="51" t="e">
        <f t="shared" si="280"/>
        <v>#NUM!</v>
      </c>
      <c r="AG303" s="51" t="str">
        <f t="shared" si="262"/>
        <v>1-23.6197006643346i</v>
      </c>
      <c r="AH303" s="51">
        <f t="shared" si="281"/>
        <v>23.640859956286882</v>
      </c>
      <c r="AI303" s="51">
        <f t="shared" si="282"/>
        <v>-1.5284840567582409</v>
      </c>
      <c r="AJ303" s="51" t="str">
        <f t="shared" si="263"/>
        <v>1+0.0787323355477819i</v>
      </c>
      <c r="AK303" s="51">
        <f t="shared" si="283"/>
        <v>1.003094602049482</v>
      </c>
      <c r="AL303" s="51">
        <f t="shared" si="284"/>
        <v>7.8570256444769906E-2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0.449119708720765+0.794457228680272i</v>
      </c>
      <c r="BG303" s="66">
        <f t="shared" si="300"/>
        <v>-0.79422363275497443</v>
      </c>
      <c r="BH303" s="63">
        <f t="shared" si="301"/>
        <v>60.519811443391831</v>
      </c>
      <c r="BI303" s="60" t="e">
        <f t="shared" si="255"/>
        <v>#NUM!</v>
      </c>
      <c r="BJ303" s="66" t="e">
        <f t="shared" si="302"/>
        <v>#NUM!</v>
      </c>
      <c r="BK303" s="63" t="e">
        <f t="shared" si="256"/>
        <v>#NUM!</v>
      </c>
      <c r="BL303" s="51">
        <f t="shared" si="303"/>
        <v>-0.79422363275497443</v>
      </c>
      <c r="BM303" s="63">
        <f t="shared" si="304"/>
        <v>60.519811443391831</v>
      </c>
    </row>
    <row r="304" spans="14:65" x14ac:dyDescent="0.3">
      <c r="N304" s="11">
        <v>86</v>
      </c>
      <c r="O304" s="52">
        <f t="shared" si="305"/>
        <v>7244.3596007499036</v>
      </c>
      <c r="P304" s="50" t="str">
        <f t="shared" si="257"/>
        <v>23.3035714285714</v>
      </c>
      <c r="Q304" s="18" t="str">
        <f t="shared" si="258"/>
        <v>1+17.2641958354162i</v>
      </c>
      <c r="R304" s="18">
        <f t="shared" si="269"/>
        <v>17.293133256978102</v>
      </c>
      <c r="S304" s="18">
        <f t="shared" si="270"/>
        <v>1.5129376298629926</v>
      </c>
      <c r="T304" s="18" t="str">
        <f t="shared" si="259"/>
        <v>1+0.0805662472319423i</v>
      </c>
      <c r="U304" s="18">
        <f t="shared" si="271"/>
        <v>1.0032402106141074</v>
      </c>
      <c r="V304" s="18">
        <f t="shared" si="272"/>
        <v>8.0392606623994597E-2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-0.0368445865324247-1.35803210369167i</v>
      </c>
      <c r="AD304" s="66">
        <f t="shared" si="278"/>
        <v>2.6613963302109713</v>
      </c>
      <c r="AE304" s="63">
        <f t="shared" si="279"/>
        <v>-91.554102853524611</v>
      </c>
      <c r="AF304" s="51" t="e">
        <f t="shared" si="280"/>
        <v>#NUM!</v>
      </c>
      <c r="AG304" s="51" t="str">
        <f t="shared" si="262"/>
        <v>1-24.1698741695827i</v>
      </c>
      <c r="AH304" s="51">
        <f t="shared" si="281"/>
        <v>24.190552233743261</v>
      </c>
      <c r="AI304" s="51">
        <f t="shared" si="282"/>
        <v>-1.5294460913453765</v>
      </c>
      <c r="AJ304" s="51" t="str">
        <f t="shared" si="263"/>
        <v>1+0.0805662472319423i</v>
      </c>
      <c r="AK304" s="51">
        <f t="shared" si="283"/>
        <v>1.0032402106141074</v>
      </c>
      <c r="AL304" s="51">
        <f t="shared" si="284"/>
        <v>8.0392606623994597E-2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0.443424186799219+0.770998215182392i</v>
      </c>
      <c r="BG304" s="66">
        <f t="shared" si="300"/>
        <v>-1.0178878682157353</v>
      </c>
      <c r="BH304" s="63">
        <f t="shared" si="301"/>
        <v>60.09550169949037</v>
      </c>
      <c r="BI304" s="60" t="e">
        <f t="shared" si="255"/>
        <v>#NUM!</v>
      </c>
      <c r="BJ304" s="66" t="e">
        <f t="shared" si="302"/>
        <v>#NUM!</v>
      </c>
      <c r="BK304" s="63" t="e">
        <f t="shared" si="256"/>
        <v>#NUM!</v>
      </c>
      <c r="BL304" s="51">
        <f t="shared" si="303"/>
        <v>-1.0178878682157353</v>
      </c>
      <c r="BM304" s="63">
        <f t="shared" si="304"/>
        <v>60.09550169949037</v>
      </c>
    </row>
    <row r="305" spans="14:65" x14ac:dyDescent="0.3">
      <c r="N305" s="11">
        <v>87</v>
      </c>
      <c r="O305" s="52">
        <f t="shared" si="305"/>
        <v>7413.1024130091773</v>
      </c>
      <c r="P305" s="50" t="str">
        <f t="shared" si="257"/>
        <v>23.3035714285714</v>
      </c>
      <c r="Q305" s="18" t="str">
        <f t="shared" si="258"/>
        <v>1+17.666330615744i</v>
      </c>
      <c r="R305" s="18">
        <f t="shared" si="269"/>
        <v>17.6946104061314</v>
      </c>
      <c r="S305" s="18">
        <f t="shared" si="270"/>
        <v>1.5142518165656038</v>
      </c>
      <c r="T305" s="18" t="str">
        <f t="shared" si="259"/>
        <v>1+0.0824428762068052i</v>
      </c>
      <c r="U305" s="18">
        <f t="shared" si="271"/>
        <v>1.0033926588515836</v>
      </c>
      <c r="V305" s="18">
        <f t="shared" si="272"/>
        <v>8.2256850903403192E-2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-0.0403745829992446-1.32759834525506i</v>
      </c>
      <c r="AD305" s="66">
        <f t="shared" si="278"/>
        <v>2.4653488700503026</v>
      </c>
      <c r="AE305" s="63">
        <f t="shared" si="279"/>
        <v>-91.741927775645152</v>
      </c>
      <c r="AF305" s="51" t="e">
        <f t="shared" si="280"/>
        <v>#NUM!</v>
      </c>
      <c r="AG305" s="51" t="str">
        <f t="shared" si="262"/>
        <v>1-24.7328628620416i</v>
      </c>
      <c r="AH305" s="51">
        <f t="shared" si="281"/>
        <v>24.753070624723641</v>
      </c>
      <c r="AI305" s="51">
        <f t="shared" si="282"/>
        <v>-1.5303863013593915</v>
      </c>
      <c r="AJ305" s="51" t="str">
        <f t="shared" si="263"/>
        <v>1+0.0824428762068052i</v>
      </c>
      <c r="AK305" s="51">
        <f t="shared" si="283"/>
        <v>1.0033926588515836</v>
      </c>
      <c r="AL305" s="51">
        <f t="shared" si="284"/>
        <v>8.2256850903403192E-2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0.437831610973455+0.74802512371451i</v>
      </c>
      <c r="BG305" s="66">
        <f t="shared" si="300"/>
        <v>-1.2422239133398318</v>
      </c>
      <c r="BH305" s="63">
        <f t="shared" si="301"/>
        <v>59.658847920673459</v>
      </c>
      <c r="BI305" s="60" t="e">
        <f t="shared" si="255"/>
        <v>#NUM!</v>
      </c>
      <c r="BJ305" s="66" t="e">
        <f t="shared" si="302"/>
        <v>#NUM!</v>
      </c>
      <c r="BK305" s="63" t="e">
        <f t="shared" si="256"/>
        <v>#NUM!</v>
      </c>
      <c r="BL305" s="51">
        <f t="shared" si="303"/>
        <v>-1.2422239133398318</v>
      </c>
      <c r="BM305" s="63">
        <f t="shared" si="304"/>
        <v>59.658847920673459</v>
      </c>
    </row>
    <row r="306" spans="14:65" x14ac:dyDescent="0.3">
      <c r="N306" s="11">
        <v>88</v>
      </c>
      <c r="O306" s="52">
        <f t="shared" si="305"/>
        <v>7585.7757502918394</v>
      </c>
      <c r="P306" s="50" t="str">
        <f t="shared" si="257"/>
        <v>23.3035714285714</v>
      </c>
      <c r="Q306" s="18" t="str">
        <f t="shared" si="258"/>
        <v>1+18.0778323184057i</v>
      </c>
      <c r="R306" s="18">
        <f t="shared" si="269"/>
        <v>18.10546937619662</v>
      </c>
      <c r="S306" s="18">
        <f t="shared" si="270"/>
        <v>1.515536277685303</v>
      </c>
      <c r="T306" s="18" t="str">
        <f t="shared" si="259"/>
        <v>1+0.0843632174858935i</v>
      </c>
      <c r="U306" s="18">
        <f t="shared" si="271"/>
        <v>1.0035522669321075</v>
      </c>
      <c r="V306" s="18">
        <f t="shared" si="272"/>
        <v>8.4163925869056064E-2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-0.0437482332644452-1.29785056372809i</v>
      </c>
      <c r="AD306" s="66">
        <f t="shared" si="278"/>
        <v>2.2694256460206228</v>
      </c>
      <c r="AE306" s="63">
        <f t="shared" si="279"/>
        <v>-91.930607789676344</v>
      </c>
      <c r="AF306" s="51" t="e">
        <f t="shared" si="280"/>
        <v>#NUM!</v>
      </c>
      <c r="AG306" s="51" t="str">
        <f t="shared" si="262"/>
        <v>1-25.3089652457681i</v>
      </c>
      <c r="AH306" s="51">
        <f t="shared" si="281"/>
        <v>25.328713386421693</v>
      </c>
      <c r="AI306" s="51">
        <f t="shared" si="282"/>
        <v>-1.5313051786591634</v>
      </c>
      <c r="AJ306" s="51" t="str">
        <f t="shared" si="263"/>
        <v>1+0.0843632174858935i</v>
      </c>
      <c r="AK306" s="51">
        <f t="shared" si="283"/>
        <v>1.0035522669321075</v>
      </c>
      <c r="AL306" s="51">
        <f t="shared" si="284"/>
        <v>8.4163925869056064E-2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0.432332930274497+0.725527534756215i</v>
      </c>
      <c r="BG306" s="66">
        <f t="shared" si="300"/>
        <v>-1.4672657880091113</v>
      </c>
      <c r="BH306" s="63">
        <f t="shared" si="301"/>
        <v>59.209806152528756</v>
      </c>
      <c r="BI306" s="60" t="e">
        <f t="shared" ref="BI306:BI369" si="306">IMPRODUCT(AP306,BC306)</f>
        <v>#NUM!</v>
      </c>
      <c r="BJ306" s="66" t="e">
        <f t="shared" si="302"/>
        <v>#NUM!</v>
      </c>
      <c r="BK306" s="63" t="e">
        <f t="shared" ref="BK306:BK369" si="307">(180/PI())*IMARGUMENT(BI306)</f>
        <v>#NUM!</v>
      </c>
      <c r="BL306" s="51">
        <f t="shared" si="303"/>
        <v>-1.4672657880091113</v>
      </c>
      <c r="BM306" s="63">
        <f t="shared" si="304"/>
        <v>59.209806152528756</v>
      </c>
    </row>
    <row r="307" spans="14:65" x14ac:dyDescent="0.3">
      <c r="N307" s="11">
        <v>89</v>
      </c>
      <c r="O307" s="52">
        <f t="shared" si="305"/>
        <v>7762.4711662869322</v>
      </c>
      <c r="P307" s="50" t="str">
        <f t="shared" si="257"/>
        <v>23.3035714285714</v>
      </c>
      <c r="Q307" s="18" t="str">
        <f t="shared" si="258"/>
        <v>1+18.4989191270511i</v>
      </c>
      <c r="R307" s="18">
        <f t="shared" si="269"/>
        <v>18.525928016409246</v>
      </c>
      <c r="S307" s="18">
        <f t="shared" si="270"/>
        <v>1.5167916772975323</v>
      </c>
      <c r="T307" s="18" t="str">
        <f t="shared" si="259"/>
        <v>1+0.086328289259572i</v>
      </c>
      <c r="U307" s="18">
        <f t="shared" si="271"/>
        <v>1.0037193699069897</v>
      </c>
      <c r="V307" s="18">
        <f t="shared" si="272"/>
        <v>8.6114787159214973E-2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-0.0469725596450489-1.26877416486131i</v>
      </c>
      <c r="AD307" s="66">
        <f t="shared" si="278"/>
        <v>2.0736350255842559</v>
      </c>
      <c r="AE307" s="63">
        <f t="shared" si="279"/>
        <v>-92.120236130994499</v>
      </c>
      <c r="AF307" s="51" t="e">
        <f t="shared" si="280"/>
        <v>#NUM!</v>
      </c>
      <c r="AG307" s="51" t="str">
        <f t="shared" si="262"/>
        <v>1-25.8984867778717i</v>
      </c>
      <c r="AH307" s="51">
        <f t="shared" si="281"/>
        <v>25.917785734579937</v>
      </c>
      <c r="AI307" s="51">
        <f t="shared" si="282"/>
        <v>-1.532203204235334</v>
      </c>
      <c r="AJ307" s="51" t="str">
        <f t="shared" si="263"/>
        <v>1+0.086328289259572i</v>
      </c>
      <c r="AK307" s="51">
        <f t="shared" si="283"/>
        <v>1.0037193699069897</v>
      </c>
      <c r="AL307" s="51">
        <f t="shared" si="284"/>
        <v>8.6114787159214973E-2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0.42691947026727+0.703495488416604i</v>
      </c>
      <c r="BG307" s="66">
        <f t="shared" si="300"/>
        <v>-1.6930476819291096</v>
      </c>
      <c r="BH307" s="63">
        <f t="shared" si="301"/>
        <v>58.748337573272259</v>
      </c>
      <c r="BI307" s="60" t="e">
        <f t="shared" si="306"/>
        <v>#NUM!</v>
      </c>
      <c r="BJ307" s="66" t="e">
        <f t="shared" si="302"/>
        <v>#NUM!</v>
      </c>
      <c r="BK307" s="63" t="e">
        <f t="shared" si="307"/>
        <v>#NUM!</v>
      </c>
      <c r="BL307" s="51">
        <f t="shared" si="303"/>
        <v>-1.6930476819291096</v>
      </c>
      <c r="BM307" s="63">
        <f t="shared" si="304"/>
        <v>58.748337573272259</v>
      </c>
    </row>
    <row r="308" spans="14:65" x14ac:dyDescent="0.3">
      <c r="N308" s="11">
        <v>90</v>
      </c>
      <c r="O308" s="52">
        <f t="shared" si="305"/>
        <v>7943.2823472428154</v>
      </c>
      <c r="P308" s="50" t="str">
        <f t="shared" si="257"/>
        <v>23.3035714285714</v>
      </c>
      <c r="Q308" s="18" t="str">
        <f t="shared" si="258"/>
        <v>1+18.9298143074798i</v>
      </c>
      <c r="R308" s="18">
        <f t="shared" si="269"/>
        <v>18.956209265453545</v>
      </c>
      <c r="S308" s="18">
        <f t="shared" si="270"/>
        <v>1.5180186651944527</v>
      </c>
      <c r="T308" s="18" t="str">
        <f t="shared" si="259"/>
        <v>1+0.0883391334349058i</v>
      </c>
      <c r="U308" s="18">
        <f t="shared" si="271"/>
        <v>1.0038943183901532</v>
      </c>
      <c r="V308" s="18">
        <f t="shared" si="272"/>
        <v>8.8110409715729754E-2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-0.0500542793002904-1.24035483169908i</v>
      </c>
      <c r="AD308" s="66">
        <f t="shared" si="278"/>
        <v>1.8779856331920133</v>
      </c>
      <c r="AE308" s="63">
        <f t="shared" si="279"/>
        <v>-92.310906198382852</v>
      </c>
      <c r="AF308" s="51" t="e">
        <f t="shared" si="280"/>
        <v>#NUM!</v>
      </c>
      <c r="AG308" s="51" t="str">
        <f t="shared" si="262"/>
        <v>1-26.5017400304718i</v>
      </c>
      <c r="AH308" s="51">
        <f t="shared" si="281"/>
        <v>26.520600005330035</v>
      </c>
      <c r="AI308" s="51">
        <f t="shared" si="282"/>
        <v>-1.5330808484359437</v>
      </c>
      <c r="AJ308" s="51" t="str">
        <f t="shared" si="263"/>
        <v>1+0.0883391334349058i</v>
      </c>
      <c r="AK308" s="51">
        <f t="shared" si="283"/>
        <v>1.0038943183901532</v>
      </c>
      <c r="AL308" s="51">
        <f t="shared" si="284"/>
        <v>8.8110409715729754E-2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0.421582926580612+0.68191947368714i</v>
      </c>
      <c r="BG308" s="66">
        <f t="shared" si="300"/>
        <v>-1.9196039270248462</v>
      </c>
      <c r="BH308" s="63">
        <f t="shared" si="301"/>
        <v>58.274408845921023</v>
      </c>
      <c r="BI308" s="60" t="e">
        <f t="shared" si="306"/>
        <v>#NUM!</v>
      </c>
      <c r="BJ308" s="66" t="e">
        <f t="shared" si="302"/>
        <v>#NUM!</v>
      </c>
      <c r="BK308" s="63" t="e">
        <f t="shared" si="307"/>
        <v>#NUM!</v>
      </c>
      <c r="BL308" s="51">
        <f t="shared" si="303"/>
        <v>-1.9196039270248462</v>
      </c>
      <c r="BM308" s="63">
        <f t="shared" si="304"/>
        <v>58.274408845921023</v>
      </c>
    </row>
    <row r="309" spans="14:65" x14ac:dyDescent="0.3">
      <c r="N309" s="11">
        <v>91</v>
      </c>
      <c r="O309" s="52">
        <f t="shared" si="305"/>
        <v>8128.3051616410066</v>
      </c>
      <c r="P309" s="50" t="str">
        <f t="shared" si="257"/>
        <v>23.3035714285714</v>
      </c>
      <c r="Q309" s="18" t="str">
        <f t="shared" si="258"/>
        <v>1+19.3707463260201i</v>
      </c>
      <c r="R309" s="18">
        <f t="shared" si="269"/>
        <v>19.396541269696026</v>
      </c>
      <c r="S309" s="18">
        <f t="shared" si="270"/>
        <v>1.5192178771550748</v>
      </c>
      <c r="T309" s="18" t="str">
        <f t="shared" si="259"/>
        <v>1+0.0903968161880939i</v>
      </c>
      <c r="U309" s="18">
        <f t="shared" si="271"/>
        <v>1.0040774792698739</v>
      </c>
      <c r="V309" s="18">
        <f t="shared" si="272"/>
        <v>9.0151788028150992E-2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-0.0529998174587927-1.21257852209909i</v>
      </c>
      <c r="AD309" s="66">
        <f t="shared" si="278"/>
        <v>1.6824863660983231</v>
      </c>
      <c r="AE309" s="63">
        <f t="shared" si="279"/>
        <v>-92.502711571984946</v>
      </c>
      <c r="AF309" s="51" t="e">
        <f t="shared" si="280"/>
        <v>#NUM!</v>
      </c>
      <c r="AG309" s="51" t="str">
        <f t="shared" si="262"/>
        <v>1-27.1190448564282i</v>
      </c>
      <c r="AH309" s="51">
        <f t="shared" si="281"/>
        <v>27.137475820808479</v>
      </c>
      <c r="AI309" s="51">
        <f t="shared" si="282"/>
        <v>-1.5339385711883702</v>
      </c>
      <c r="AJ309" s="51" t="str">
        <f t="shared" si="263"/>
        <v>1+0.0903968161880939i</v>
      </c>
      <c r="AK309" s="51">
        <f t="shared" si="283"/>
        <v>1.0040774792698739</v>
      </c>
      <c r="AL309" s="51">
        <f t="shared" si="284"/>
        <v>9.0151788028150992E-2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0.416315359385106+0.660790417769816i</v>
      </c>
      <c r="BG309" s="66">
        <f t="shared" si="300"/>
        <v>-2.1469689651170198</v>
      </c>
      <c r="BH309" s="63">
        <f t="shared" si="301"/>
        <v>57.787992478205233</v>
      </c>
      <c r="BI309" s="60" t="e">
        <f t="shared" si="306"/>
        <v>#NUM!</v>
      </c>
      <c r="BJ309" s="66" t="e">
        <f t="shared" si="302"/>
        <v>#NUM!</v>
      </c>
      <c r="BK309" s="63" t="e">
        <f t="shared" si="307"/>
        <v>#NUM!</v>
      </c>
      <c r="BL309" s="51">
        <f t="shared" si="303"/>
        <v>-2.1469689651170198</v>
      </c>
      <c r="BM309" s="63">
        <f t="shared" si="304"/>
        <v>57.787992478205233</v>
      </c>
    </row>
    <row r="310" spans="14:65" x14ac:dyDescent="0.3">
      <c r="N310" s="11">
        <v>92</v>
      </c>
      <c r="O310" s="52">
        <f t="shared" si="305"/>
        <v>8317.6377110267094</v>
      </c>
      <c r="P310" s="50" t="str">
        <f t="shared" si="257"/>
        <v>23.3035714285714</v>
      </c>
      <c r="Q310" s="18" t="str">
        <f t="shared" si="258"/>
        <v>1+19.8219489706645i</v>
      </c>
      <c r="R310" s="18">
        <f t="shared" si="269"/>
        <v>19.847157504177453</v>
      </c>
      <c r="S310" s="18">
        <f t="shared" si="270"/>
        <v>1.5203899352128429</v>
      </c>
      <c r="T310" s="18" t="str">
        <f t="shared" si="259"/>
        <v>1+0.0925024285297677i</v>
      </c>
      <c r="U310" s="18">
        <f t="shared" si="271"/>
        <v>1.0042692364520107</v>
      </c>
      <c r="V310" s="18">
        <f t="shared" si="272"/>
        <v>9.2239936369532607E-2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-0.0558153201142-1.18543146606181i</v>
      </c>
      <c r="AD310" s="66">
        <f t="shared" si="278"/>
        <v>1.4871464105444727</v>
      </c>
      <c r="AE310" s="63">
        <f t="shared" si="279"/>
        <v>-92.69574602986782</v>
      </c>
      <c r="AF310" s="51" t="e">
        <f t="shared" si="280"/>
        <v>#NUM!</v>
      </c>
      <c r="AG310" s="51" t="str">
        <f t="shared" si="262"/>
        <v>1-27.7507285589304i</v>
      </c>
      <c r="AH310" s="51">
        <f t="shared" si="281"/>
        <v>27.768740258633184</v>
      </c>
      <c r="AI310" s="51">
        <f t="shared" si="282"/>
        <v>-1.5347768222175551</v>
      </c>
      <c r="AJ310" s="51" t="str">
        <f t="shared" si="263"/>
        <v>1+0.0925024285297677i</v>
      </c>
      <c r="AK310" s="51">
        <f t="shared" si="283"/>
        <v>1.0042692364520107</v>
      </c>
      <c r="AL310" s="51">
        <f t="shared" si="284"/>
        <v>9.2239936369532607E-2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0.411109188777737+0.640099675401423i</v>
      </c>
      <c r="BG310" s="66">
        <f t="shared" si="300"/>
        <v>-2.3751773106783762</v>
      </c>
      <c r="BH310" s="63">
        <f t="shared" si="301"/>
        <v>57.289067188478747</v>
      </c>
      <c r="BI310" s="60" t="e">
        <f t="shared" si="306"/>
        <v>#NUM!</v>
      </c>
      <c r="BJ310" s="66" t="e">
        <f t="shared" si="302"/>
        <v>#NUM!</v>
      </c>
      <c r="BK310" s="63" t="e">
        <f t="shared" si="307"/>
        <v>#NUM!</v>
      </c>
      <c r="BL310" s="51">
        <f t="shared" si="303"/>
        <v>-2.3751773106783762</v>
      </c>
      <c r="BM310" s="63">
        <f t="shared" si="304"/>
        <v>57.289067188478747</v>
      </c>
    </row>
    <row r="311" spans="14:65" x14ac:dyDescent="0.3">
      <c r="N311" s="11">
        <v>93</v>
      </c>
      <c r="O311" s="52">
        <f t="shared" si="305"/>
        <v>8511.3803820237772</v>
      </c>
      <c r="P311" s="50" t="str">
        <f t="shared" si="257"/>
        <v>23.3035714285714</v>
      </c>
      <c r="Q311" s="18" t="str">
        <f t="shared" si="258"/>
        <v>1+20.2836614750277i</v>
      </c>
      <c r="R311" s="18">
        <f t="shared" si="269"/>
        <v>20.308296896429372</v>
      </c>
      <c r="S311" s="18">
        <f t="shared" si="270"/>
        <v>1.5215354479205045</v>
      </c>
      <c r="T311" s="18" t="str">
        <f t="shared" si="259"/>
        <v>1+0.0946570868834627i</v>
      </c>
      <c r="U311" s="18">
        <f t="shared" si="271"/>
        <v>1.0044699916360187</v>
      </c>
      <c r="V311" s="18">
        <f t="shared" si="272"/>
        <v>9.4375889022821902E-2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-0.0585066662084972-1.15890016288912i</v>
      </c>
      <c r="AD311" s="66">
        <f t="shared" si="278"/>
        <v>1.2919752583200235</v>
      </c>
      <c r="AE311" s="63">
        <f t="shared" si="279"/>
        <v>-92.890103563080089</v>
      </c>
      <c r="AF311" s="51" t="e">
        <f t="shared" si="280"/>
        <v>#NUM!</v>
      </c>
      <c r="AG311" s="51" t="str">
        <f t="shared" si="262"/>
        <v>1-28.3971260650389i</v>
      </c>
      <c r="AH311" s="51">
        <f t="shared" si="281"/>
        <v>28.414728025334185</v>
      </c>
      <c r="AI311" s="51">
        <f t="shared" si="282"/>
        <v>-1.5355960412605234</v>
      </c>
      <c r="AJ311" s="51" t="str">
        <f t="shared" si="263"/>
        <v>1+0.0946570868834627i</v>
      </c>
      <c r="AK311" s="51">
        <f t="shared" si="283"/>
        <v>1.0044699916360187</v>
      </c>
      <c r="AL311" s="51">
        <f t="shared" si="284"/>
        <v>9.4375889022821902E-2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0.405957191026956+0.619839018095198i</v>
      </c>
      <c r="BG311" s="66">
        <f t="shared" si="300"/>
        <v>-2.604263508491985</v>
      </c>
      <c r="BH311" s="63">
        <f t="shared" si="301"/>
        <v>56.777618275726745</v>
      </c>
      <c r="BI311" s="60" t="e">
        <f t="shared" si="306"/>
        <v>#NUM!</v>
      </c>
      <c r="BJ311" s="66" t="e">
        <f t="shared" si="302"/>
        <v>#NUM!</v>
      </c>
      <c r="BK311" s="63" t="e">
        <f t="shared" si="307"/>
        <v>#NUM!</v>
      </c>
      <c r="BL311" s="51">
        <f t="shared" si="303"/>
        <v>-2.604263508491985</v>
      </c>
      <c r="BM311" s="63">
        <f t="shared" si="304"/>
        <v>56.777618275726745</v>
      </c>
    </row>
    <row r="312" spans="14:65" x14ac:dyDescent="0.3">
      <c r="N312" s="11">
        <v>94</v>
      </c>
      <c r="O312" s="52">
        <f t="shared" si="305"/>
        <v>8709.6358995608189</v>
      </c>
      <c r="P312" s="50" t="str">
        <f t="shared" si="257"/>
        <v>23.3035714285714</v>
      </c>
      <c r="Q312" s="18" t="str">
        <f t="shared" si="258"/>
        <v>1+20.756128645191i</v>
      </c>
      <c r="R312" s="18">
        <f t="shared" si="269"/>
        <v>20.780203953179054</v>
      </c>
      <c r="S312" s="18">
        <f t="shared" si="270"/>
        <v>1.522655010612102</v>
      </c>
      <c r="T312" s="18" t="str">
        <f t="shared" si="259"/>
        <v>1+0.0968619336775579i</v>
      </c>
      <c r="U312" s="18">
        <f t="shared" si="271"/>
        <v>1.0046801651250787</v>
      </c>
      <c r="V312" s="18">
        <f t="shared" si="272"/>
        <v>9.6560700496633095E-2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-0.0610794793218631-1.13297137819098i</v>
      </c>
      <c r="AD312" s="66">
        <f t="shared" si="278"/>
        <v>1.0969827237188601</v>
      </c>
      <c r="AE312" s="63">
        <f t="shared" si="279"/>
        <v>-93.08587838908592</v>
      </c>
      <c r="AF312" s="51" t="e">
        <f t="shared" si="280"/>
        <v>#NUM!</v>
      </c>
      <c r="AG312" s="51" t="str">
        <f t="shared" si="262"/>
        <v>1-29.0585801032674i</v>
      </c>
      <c r="AH312" s="51">
        <f t="shared" si="281"/>
        <v>29.075781633827283</v>
      </c>
      <c r="AI312" s="51">
        <f t="shared" si="282"/>
        <v>-1.5363966582771897</v>
      </c>
      <c r="AJ312" s="51" t="str">
        <f t="shared" si="263"/>
        <v>1+0.0968619336775579i</v>
      </c>
      <c r="AK312" s="51">
        <f t="shared" si="283"/>
        <v>1.0046801651250787</v>
      </c>
      <c r="AL312" s="51">
        <f t="shared" si="284"/>
        <v>9.6560700496633095E-2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0.400852495626547+0.600000623223571i</v>
      </c>
      <c r="BG312" s="66">
        <f t="shared" si="300"/>
        <v>-2.834262086040757</v>
      </c>
      <c r="BH312" s="63">
        <f t="shared" si="301"/>
        <v>56.253637991627322</v>
      </c>
      <c r="BI312" s="60" t="e">
        <f t="shared" si="306"/>
        <v>#NUM!</v>
      </c>
      <c r="BJ312" s="66" t="e">
        <f t="shared" si="302"/>
        <v>#NUM!</v>
      </c>
      <c r="BK312" s="63" t="e">
        <f t="shared" si="307"/>
        <v>#NUM!</v>
      </c>
      <c r="BL312" s="51">
        <f t="shared" si="303"/>
        <v>-2.834262086040757</v>
      </c>
      <c r="BM312" s="63">
        <f t="shared" si="304"/>
        <v>56.253637991627322</v>
      </c>
    </row>
    <row r="313" spans="14:65" x14ac:dyDescent="0.3">
      <c r="N313" s="11">
        <v>95</v>
      </c>
      <c r="O313" s="52">
        <f t="shared" si="305"/>
        <v>8912.5093813374679</v>
      </c>
      <c r="P313" s="50" t="str">
        <f t="shared" si="257"/>
        <v>23.3035714285714</v>
      </c>
      <c r="Q313" s="18" t="str">
        <f t="shared" si="258"/>
        <v>1+21.2396009895017i</v>
      </c>
      <c r="R313" s="18">
        <f t="shared" si="269"/>
        <v>21.263128890011497</v>
      </c>
      <c r="S313" s="18">
        <f t="shared" si="270"/>
        <v>1.5237492056619502</v>
      </c>
      <c r="T313" s="18" t="str">
        <f t="shared" si="259"/>
        <v>1+0.0991181379510081i</v>
      </c>
      <c r="U313" s="18">
        <f t="shared" si="271"/>
        <v>1.0049001966717268</v>
      </c>
      <c r="V313" s="18">
        <f t="shared" si="272"/>
        <v>9.8795445729136969E-2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-0.0635391388874094-1.10763214075673i</v>
      </c>
      <c r="AD313" s="66">
        <f t="shared" si="278"/>
        <v>0.90217896089866989</v>
      </c>
      <c r="AE313" s="63">
        <f t="shared" si="279"/>
        <v>-93.283164963451156</v>
      </c>
      <c r="AF313" s="51" t="e">
        <f t="shared" si="280"/>
        <v>#NUM!</v>
      </c>
      <c r="AG313" s="51" t="str">
        <f t="shared" si="262"/>
        <v>1-29.7354413853025i</v>
      </c>
      <c r="AH313" s="51">
        <f t="shared" si="281"/>
        <v>29.75225158502732</v>
      </c>
      <c r="AI313" s="51">
        <f t="shared" si="282"/>
        <v>-1.5371790936574641</v>
      </c>
      <c r="AJ313" s="51" t="str">
        <f t="shared" si="263"/>
        <v>1+0.0991181379510081i</v>
      </c>
      <c r="AK313" s="51">
        <f t="shared" si="283"/>
        <v>1.0049001966717268</v>
      </c>
      <c r="AL313" s="51">
        <f t="shared" si="284"/>
        <v>9.8795445729136969E-2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0.395788583100651+0.580577062867182i</v>
      </c>
      <c r="BG313" s="66">
        <f t="shared" si="300"/>
        <v>-3.065207500485772</v>
      </c>
      <c r="BH313" s="63">
        <f t="shared" si="301"/>
        <v>55.717125912461604</v>
      </c>
      <c r="BI313" s="60" t="e">
        <f t="shared" si="306"/>
        <v>#NUM!</v>
      </c>
      <c r="BJ313" s="66" t="e">
        <f t="shared" si="302"/>
        <v>#NUM!</v>
      </c>
      <c r="BK313" s="63" t="e">
        <f t="shared" si="307"/>
        <v>#NUM!</v>
      </c>
      <c r="BL313" s="51">
        <f t="shared" si="303"/>
        <v>-3.065207500485772</v>
      </c>
      <c r="BM313" s="63">
        <f t="shared" si="304"/>
        <v>55.717125912461604</v>
      </c>
    </row>
    <row r="314" spans="14:65" x14ac:dyDescent="0.3">
      <c r="N314" s="11">
        <v>96</v>
      </c>
      <c r="O314" s="52">
        <f t="shared" si="305"/>
        <v>9120.1083935591087</v>
      </c>
      <c r="P314" s="50" t="str">
        <f t="shared" si="257"/>
        <v>23.3035714285714</v>
      </c>
      <c r="Q314" s="18" t="str">
        <f t="shared" si="258"/>
        <v>1+21.7343348513965i</v>
      </c>
      <c r="R314" s="18">
        <f t="shared" si="269"/>
        <v>21.757327764057528</v>
      </c>
      <c r="S314" s="18">
        <f t="shared" si="270"/>
        <v>1.5248186027404784</v>
      </c>
      <c r="T314" s="18" t="str">
        <f t="shared" si="259"/>
        <v>1+0.101426895973184i</v>
      </c>
      <c r="U314" s="18">
        <f t="shared" si="271"/>
        <v>1.0051305463603994</v>
      </c>
      <c r="V314" s="18">
        <f t="shared" si="272"/>
        <v>0.1010812202786906</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-0.0658907909487044-1.08286973930707i</v>
      </c>
      <c r="AD314" s="66">
        <f t="shared" si="278"/>
        <v>0.70757448165660275</v>
      </c>
      <c r="AE314" s="63">
        <f t="shared" si="279"/>
        <v>-93.482057989651949</v>
      </c>
      <c r="AF314" s="51" t="e">
        <f t="shared" si="280"/>
        <v>#NUM!</v>
      </c>
      <c r="AG314" s="51" t="str">
        <f t="shared" si="262"/>
        <v>1-30.4280687919551i</v>
      </c>
      <c r="AH314" s="51">
        <f t="shared" si="281"/>
        <v>30.444496553695085</v>
      </c>
      <c r="AI314" s="51">
        <f t="shared" si="282"/>
        <v>-1.5379437584246642</v>
      </c>
      <c r="AJ314" s="51" t="str">
        <f t="shared" si="263"/>
        <v>1+0.101426895973184i</v>
      </c>
      <c r="AK314" s="51">
        <f t="shared" si="283"/>
        <v>1.0051305463603994</v>
      </c>
      <c r="AL314" s="51">
        <f t="shared" si="284"/>
        <v>0.1010812202786906</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0.390759283496536+0.56156129235868i</v>
      </c>
      <c r="BG314" s="66">
        <f t="shared" si="300"/>
        <v>-3.2971340801072491</v>
      </c>
      <c r="BH314" s="63">
        <f t="shared" si="301"/>
        <v>55.168089308523889</v>
      </c>
      <c r="BI314" s="60" t="e">
        <f t="shared" si="306"/>
        <v>#NUM!</v>
      </c>
      <c r="BJ314" s="66" t="e">
        <f t="shared" si="302"/>
        <v>#NUM!</v>
      </c>
      <c r="BK314" s="63" t="e">
        <f t="shared" si="307"/>
        <v>#NUM!</v>
      </c>
      <c r="BL314" s="51">
        <f t="shared" si="303"/>
        <v>-3.2971340801072491</v>
      </c>
      <c r="BM314" s="63">
        <f t="shared" si="304"/>
        <v>55.168089308523889</v>
      </c>
    </row>
    <row r="315" spans="14:65" x14ac:dyDescent="0.3">
      <c r="N315" s="11">
        <v>97</v>
      </c>
      <c r="O315" s="52">
        <f t="shared" si="305"/>
        <v>9332.5430079699217</v>
      </c>
      <c r="P315" s="50" t="str">
        <f t="shared" si="257"/>
        <v>23.3035714285714</v>
      </c>
      <c r="Q315" s="18" t="str">
        <f t="shared" si="258"/>
        <v>1+22.2405925453174i</v>
      </c>
      <c r="R315" s="18">
        <f t="shared" si="269"/>
        <v>22.263062609776494</v>
      </c>
      <c r="S315" s="18">
        <f t="shared" si="270"/>
        <v>1.5258637590668209</v>
      </c>
      <c r="T315" s="18" t="str">
        <f t="shared" si="259"/>
        <v>1+0.103789431878148i</v>
      </c>
      <c r="U315" s="18">
        <f t="shared" si="271"/>
        <v>1.0053716955283696</v>
      </c>
      <c r="V315" s="18">
        <f t="shared" si="272"/>
        <v>0.10341914049974034</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-0.0681393584775226-1.05867171914113i</v>
      </c>
      <c r="AD315" s="66">
        <f t="shared" si="278"/>
        <v>0.51318017362923096</v>
      </c>
      <c r="AE315" s="63">
        <f t="shared" si="279"/>
        <v>-93.68265242687221</v>
      </c>
      <c r="AF315" s="51" t="e">
        <f t="shared" si="280"/>
        <v>#NUM!</v>
      </c>
      <c r="AG315" s="51" t="str">
        <f t="shared" si="262"/>
        <v>1-31.1368295634444i</v>
      </c>
      <c r="AH315" s="51">
        <f t="shared" si="281"/>
        <v>31.152883578618933</v>
      </c>
      <c r="AI315" s="51">
        <f t="shared" si="282"/>
        <v>-1.5386910544352561</v>
      </c>
      <c r="AJ315" s="51" t="str">
        <f t="shared" si="263"/>
        <v>1+0.103789431878148i</v>
      </c>
      <c r="AK315" s="51">
        <f t="shared" si="283"/>
        <v>1.0053716955283696</v>
      </c>
      <c r="AL315" s="51">
        <f t="shared" si="284"/>
        <v>0.10341914049974034</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0.385758775495345+0.542946638452988i</v>
      </c>
      <c r="BG315" s="66">
        <f t="shared" si="300"/>
        <v>-3.5300759601121912</v>
      </c>
      <c r="BH315" s="63">
        <f t="shared" si="301"/>
        <v>54.606543508538728</v>
      </c>
      <c r="BI315" s="60" t="e">
        <f t="shared" si="306"/>
        <v>#NUM!</v>
      </c>
      <c r="BJ315" s="66" t="e">
        <f t="shared" si="302"/>
        <v>#NUM!</v>
      </c>
      <c r="BK315" s="63" t="e">
        <f t="shared" si="307"/>
        <v>#NUM!</v>
      </c>
      <c r="BL315" s="51">
        <f t="shared" si="303"/>
        <v>-3.5300759601121912</v>
      </c>
      <c r="BM315" s="63">
        <f t="shared" si="304"/>
        <v>54.606543508538728</v>
      </c>
    </row>
    <row r="316" spans="14:65" x14ac:dyDescent="0.3">
      <c r="N316" s="11">
        <v>98</v>
      </c>
      <c r="O316" s="52">
        <f t="shared" si="305"/>
        <v>9549.9258602143691</v>
      </c>
      <c r="P316" s="50" t="str">
        <f t="shared" si="257"/>
        <v>23.3035714285714</v>
      </c>
      <c r="Q316" s="18" t="str">
        <f t="shared" si="258"/>
        <v>1+22.7586424957949i</v>
      </c>
      <c r="R316" s="18">
        <f t="shared" si="269"/>
        <v>22.780601577908371</v>
      </c>
      <c r="S316" s="18">
        <f t="shared" si="270"/>
        <v>1.5268852196580724</v>
      </c>
      <c r="T316" s="18" t="str">
        <f t="shared" si="259"/>
        <v>1+0.106206998313709i</v>
      </c>
      <c r="U316" s="18">
        <f t="shared" si="271"/>
        <v>1.0056241477265788</v>
      </c>
      <c r="V316" s="18">
        <f t="shared" si="272"/>
        <v>0.1058103437024366</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-0.0702895512687433-1.03502587869225i</v>
      </c>
      <c r="AD316" s="66">
        <f t="shared" si="278"/>
        <v>0.31900731892587192</v>
      </c>
      <c r="AE316" s="63">
        <f t="shared" si="279"/>
        <v>-93.8850434956491</v>
      </c>
      <c r="AF316" s="51" t="e">
        <f t="shared" si="280"/>
        <v>#NUM!</v>
      </c>
      <c r="AG316" s="51" t="str">
        <f t="shared" si="262"/>
        <v>1-31.8620994941129i</v>
      </c>
      <c r="AH316" s="51">
        <f t="shared" si="281"/>
        <v>31.877788257229355</v>
      </c>
      <c r="AI316" s="51">
        <f t="shared" si="282"/>
        <v>-1.5394213745749401</v>
      </c>
      <c r="AJ316" s="51" t="str">
        <f t="shared" si="263"/>
        <v>1+0.106206998313709i</v>
      </c>
      <c r="AK316" s="51">
        <f t="shared" si="283"/>
        <v>1.0056241477265788</v>
      </c>
      <c r="AL316" s="51">
        <f t="shared" si="284"/>
        <v>0.1058103437024366</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0.380781586064891+0.524726787060035i</v>
      </c>
      <c r="BG316" s="66">
        <f t="shared" si="300"/>
        <v>-3.764067012740973</v>
      </c>
      <c r="BH316" s="63">
        <f t="shared" si="301"/>
        <v>54.032512256452144</v>
      </c>
      <c r="BI316" s="60" t="e">
        <f t="shared" si="306"/>
        <v>#NUM!</v>
      </c>
      <c r="BJ316" s="66" t="e">
        <f t="shared" si="302"/>
        <v>#NUM!</v>
      </c>
      <c r="BK316" s="63" t="e">
        <f t="shared" si="307"/>
        <v>#NUM!</v>
      </c>
      <c r="BL316" s="51">
        <f t="shared" si="303"/>
        <v>-3.764067012740973</v>
      </c>
      <c r="BM316" s="63">
        <f t="shared" si="304"/>
        <v>54.032512256452144</v>
      </c>
    </row>
    <row r="317" spans="14:65" x14ac:dyDescent="0.3">
      <c r="N317" s="11">
        <v>99</v>
      </c>
      <c r="O317" s="52">
        <f t="shared" si="305"/>
        <v>9772.3722095581161</v>
      </c>
      <c r="P317" s="50" t="str">
        <f t="shared" si="257"/>
        <v>23.3035714285714</v>
      </c>
      <c r="Q317" s="18" t="str">
        <f t="shared" si="258"/>
        <v>1+23.2887593797699i</v>
      </c>
      <c r="R317" s="18">
        <f t="shared" si="269"/>
        <v>23.310219077666787</v>
      </c>
      <c r="S317" s="18">
        <f t="shared" si="270"/>
        <v>1.5278835175751186</v>
      </c>
      <c r="T317" s="18" t="str">
        <f t="shared" si="259"/>
        <v>1+0.108680877105593i</v>
      </c>
      <c r="U317" s="18">
        <f t="shared" si="271"/>
        <v>1.0058884297219255</v>
      </c>
      <c r="V317" s="18">
        <f t="shared" si="272"/>
        <v>0.10825598829427838</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-0.0723458754288612-1.01192026600487i</v>
      </c>
      <c r="AD317" s="66">
        <f t="shared" si="278"/>
        <v>0.12506761320127449</v>
      </c>
      <c r="AE317" s="63">
        <f t="shared" si="279"/>
        <v>-94.08932668122084</v>
      </c>
      <c r="AF317" s="51" t="e">
        <f t="shared" si="280"/>
        <v>#NUM!</v>
      </c>
      <c r="AG317" s="51" t="str">
        <f t="shared" si="262"/>
        <v>1-32.6042631316779i</v>
      </c>
      <c r="AH317" s="51">
        <f t="shared" si="281"/>
        <v>32.619594944752009</v>
      </c>
      <c r="AI317" s="51">
        <f t="shared" si="282"/>
        <v>-1.5401351029511068</v>
      </c>
      <c r="AJ317" s="51" t="str">
        <f t="shared" si="263"/>
        <v>1+0.108680877105593i</v>
      </c>
      <c r="AK317" s="51">
        <f t="shared" si="283"/>
        <v>1.0058884297219255</v>
      </c>
      <c r="AL317" s="51">
        <f t="shared" si="284"/>
        <v>0.10825598829427838</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0.375822590572169+0.506895770481064i</v>
      </c>
      <c r="BG317" s="66">
        <f t="shared" si="300"/>
        <v>-3.9991407716385217</v>
      </c>
      <c r="BH317" s="63">
        <f t="shared" si="301"/>
        <v>53.446028057850519</v>
      </c>
      <c r="BI317" s="60" t="e">
        <f t="shared" si="306"/>
        <v>#NUM!</v>
      </c>
      <c r="BJ317" s="66" t="e">
        <f t="shared" si="302"/>
        <v>#NUM!</v>
      </c>
      <c r="BK317" s="63" t="e">
        <f t="shared" si="307"/>
        <v>#NUM!</v>
      </c>
      <c r="BL317" s="51">
        <f t="shared" si="303"/>
        <v>-3.9991407716385217</v>
      </c>
      <c r="BM317" s="63">
        <f t="shared" si="304"/>
        <v>53.446028057850519</v>
      </c>
    </row>
    <row r="318" spans="14:65" x14ac:dyDescent="0.3">
      <c r="N318" s="11">
        <v>100</v>
      </c>
      <c r="O318" s="52">
        <f t="shared" si="305"/>
        <v>10000</v>
      </c>
      <c r="P318" s="50" t="str">
        <f t="shared" si="257"/>
        <v>23.3035714285714</v>
      </c>
      <c r="Q318" s="18" t="str">
        <f t="shared" si="258"/>
        <v>1+23.8312242722312i</v>
      </c>
      <c r="R318" s="18">
        <f t="shared" si="269"/>
        <v>23.852195922249621</v>
      </c>
      <c r="S318" s="18">
        <f t="shared" si="270"/>
        <v>1.5288591741649769</v>
      </c>
      <c r="T318" s="18" t="str">
        <f t="shared" si="259"/>
        <v>1+0.111212379937079i</v>
      </c>
      <c r="U318" s="18">
        <f t="shared" si="271"/>
        <v>1.0061650925426051</v>
      </c>
      <c r="V318" s="18">
        <f t="shared" si="272"/>
        <v>0.11075725390199645</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-0.0743126424740869-0.989343175143912i</v>
      </c>
      <c r="AD318" s="66">
        <f t="shared" si="278"/>
        <v>-6.8626814828516181E-2</v>
      </c>
      <c r="AE318" s="63">
        <f t="shared" si="279"/>
        <v>-94.295597734426522</v>
      </c>
      <c r="AF318" s="51" t="e">
        <f t="shared" si="280"/>
        <v>#NUM!</v>
      </c>
      <c r="AG318" s="51" t="str">
        <f t="shared" si="262"/>
        <v>1-33.3637139811237i</v>
      </c>
      <c r="AH318" s="51">
        <f t="shared" si="281"/>
        <v>33.378696958003459</v>
      </c>
      <c r="AI318" s="51">
        <f t="shared" si="282"/>
        <v>-1.5408326150816924</v>
      </c>
      <c r="AJ318" s="51" t="str">
        <f t="shared" si="263"/>
        <v>1+0.111212379937079i</v>
      </c>
      <c r="AK318" s="51">
        <f t="shared" si="283"/>
        <v>1.0061650925426051</v>
      </c>
      <c r="AL318" s="51">
        <f t="shared" si="284"/>
        <v>0.11075725390199645</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0.370877013267132+0.489447954095367i</v>
      </c>
      <c r="BG318" s="66">
        <f t="shared" si="300"/>
        <v>-4.235330350493987</v>
      </c>
      <c r="BH318" s="63">
        <f t="shared" si="301"/>
        <v>52.847132513138007</v>
      </c>
      <c r="BI318" s="60" t="e">
        <f t="shared" si="306"/>
        <v>#NUM!</v>
      </c>
      <c r="BJ318" s="66" t="e">
        <f t="shared" si="302"/>
        <v>#NUM!</v>
      </c>
      <c r="BK318" s="63" t="e">
        <f t="shared" si="307"/>
        <v>#NUM!</v>
      </c>
      <c r="BL318" s="51">
        <f t="shared" si="303"/>
        <v>-4.235330350493987</v>
      </c>
      <c r="BM318" s="63">
        <f t="shared" si="304"/>
        <v>52.847132513138007</v>
      </c>
    </row>
    <row r="319" spans="14:65" x14ac:dyDescent="0.3">
      <c r="N319" s="11">
        <v>1</v>
      </c>
      <c r="O319" s="52">
        <f>10^(4+(N319/100))</f>
        <v>10232.929922807549</v>
      </c>
      <c r="P319" s="50" t="str">
        <f t="shared" si="257"/>
        <v>23.3035714285714</v>
      </c>
      <c r="Q319" s="18" t="str">
        <f t="shared" si="258"/>
        <v>1+24.3863247952452i</v>
      </c>
      <c r="R319" s="18">
        <f t="shared" si="269"/>
        <v>24.406819477744147</v>
      </c>
      <c r="S319" s="18">
        <f t="shared" si="270"/>
        <v>1.5298126992995869</v>
      </c>
      <c r="T319" s="18" t="str">
        <f t="shared" si="259"/>
        <v>1+0.113802849044477i</v>
      </c>
      <c r="U319" s="18">
        <f t="shared" si="271"/>
        <v>1.0064547125681513</v>
      </c>
      <c r="V319" s="18">
        <f t="shared" si="272"/>
        <v>0.11331534147178501</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-0.076193978053514-0.967283142547482i</v>
      </c>
      <c r="AD319" s="66">
        <f t="shared" si="278"/>
        <v>-0.26206338342239643</v>
      </c>
      <c r="AE319" s="63">
        <f t="shared" si="279"/>
        <v>-94.50395266999935</v>
      </c>
      <c r="AF319" s="51" t="e">
        <f t="shared" si="280"/>
        <v>#NUM!</v>
      </c>
      <c r="AG319" s="51" t="str">
        <f t="shared" si="262"/>
        <v>1-34.1408547133433i</v>
      </c>
      <c r="AH319" s="51">
        <f t="shared" si="281"/>
        <v>34.15549678393824</v>
      </c>
      <c r="AI319" s="51">
        <f t="shared" si="282"/>
        <v>-1.5415142780804616</v>
      </c>
      <c r="AJ319" s="51" t="str">
        <f t="shared" si="263"/>
        <v>1+0.113802849044477i</v>
      </c>
      <c r="AK319" s="51">
        <f t="shared" si="283"/>
        <v>1.0064547125681513</v>
      </c>
      <c r="AL319" s="51">
        <f t="shared" si="284"/>
        <v>0.11331534147178501</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0.365940428043357+0.47237802245138i</v>
      </c>
      <c r="BG319" s="66">
        <f t="shared" si="300"/>
        <v>-4.4726683559899927</v>
      </c>
      <c r="BH319" s="63">
        <f t="shared" si="301"/>
        <v>52.235876634520231</v>
      </c>
      <c r="BI319" s="60" t="e">
        <f t="shared" si="306"/>
        <v>#NUM!</v>
      </c>
      <c r="BJ319" s="66" t="e">
        <f t="shared" si="302"/>
        <v>#NUM!</v>
      </c>
      <c r="BK319" s="63" t="e">
        <f t="shared" si="307"/>
        <v>#NUM!</v>
      </c>
      <c r="BL319" s="51">
        <f t="shared" si="303"/>
        <v>-4.4726683559899927</v>
      </c>
      <c r="BM319" s="63">
        <f t="shared" si="304"/>
        <v>52.235876634520231</v>
      </c>
    </row>
    <row r="320" spans="14:65" x14ac:dyDescent="0.3">
      <c r="N320" s="11">
        <v>2</v>
      </c>
      <c r="O320" s="52">
        <f t="shared" ref="O320:O383" si="308">10^(4+(N320/100))</f>
        <v>10471.285480509003</v>
      </c>
      <c r="P320" s="50" t="str">
        <f t="shared" si="257"/>
        <v>23.3035714285714</v>
      </c>
      <c r="Q320" s="18" t="str">
        <f t="shared" si="258"/>
        <v>1+24.9543552704568i</v>
      </c>
      <c r="R320" s="18">
        <f t="shared" si="269"/>
        <v>24.974383815505341</v>
      </c>
      <c r="S320" s="18">
        <f t="shared" si="270"/>
        <v>1.5307445916110056</v>
      </c>
      <c r="T320" s="18" t="str">
        <f t="shared" si="259"/>
        <v>1+0.116453657928798i</v>
      </c>
      <c r="U320" s="18">
        <f t="shared" si="271"/>
        <v>1.0067578926658571</v>
      </c>
      <c r="V320" s="18">
        <f t="shared" si="272"/>
        <v>0.11593147334583163</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-0.0779938303123395-0.945728943332398i</v>
      </c>
      <c r="AD320" s="66">
        <f t="shared" si="278"/>
        <v>-0.45522903740382015</v>
      </c>
      <c r="AE320" s="63">
        <f t="shared" si="279"/>
        <v>-94.714487762090471</v>
      </c>
      <c r="AF320" s="51" t="e">
        <f t="shared" si="280"/>
        <v>#NUM!</v>
      </c>
      <c r="AG320" s="51" t="str">
        <f t="shared" si="262"/>
        <v>1-34.9360973786396i</v>
      </c>
      <c r="AH320" s="51">
        <f t="shared" si="281"/>
        <v>34.950406293057434</v>
      </c>
      <c r="AI320" s="51">
        <f t="shared" si="282"/>
        <v>-1.5421804508387527</v>
      </c>
      <c r="AJ320" s="51" t="str">
        <f t="shared" si="263"/>
        <v>1+0.116453657928798i</v>
      </c>
      <c r="AK320" s="51">
        <f t="shared" si="283"/>
        <v>1.0067578926658571</v>
      </c>
      <c r="AL320" s="51">
        <f t="shared" si="284"/>
        <v>0.11593147334583163</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0.361008759375514+0.455680964723609i</v>
      </c>
      <c r="BG320" s="66">
        <f t="shared" si="300"/>
        <v>-4.7111867951493647</v>
      </c>
      <c r="BH320" s="63">
        <f t="shared" si="301"/>
        <v>51.61232114376655</v>
      </c>
      <c r="BI320" s="60" t="e">
        <f t="shared" si="306"/>
        <v>#NUM!</v>
      </c>
      <c r="BJ320" s="66" t="e">
        <f t="shared" si="302"/>
        <v>#NUM!</v>
      </c>
      <c r="BK320" s="63" t="e">
        <f t="shared" si="307"/>
        <v>#NUM!</v>
      </c>
      <c r="BL320" s="51">
        <f t="shared" si="303"/>
        <v>-4.7111867951493647</v>
      </c>
      <c r="BM320" s="63">
        <f t="shared" si="304"/>
        <v>51.61232114376655</v>
      </c>
    </row>
    <row r="321" spans="14:65" x14ac:dyDescent="0.3">
      <c r="N321" s="11">
        <v>3</v>
      </c>
      <c r="O321" s="52">
        <f t="shared" si="308"/>
        <v>10715.193052376071</v>
      </c>
      <c r="P321" s="50" t="str">
        <f t="shared" si="257"/>
        <v>23.3035714285714</v>
      </c>
      <c r="Q321" s="18" t="str">
        <f t="shared" si="258"/>
        <v>1+25.5356168751427i</v>
      </c>
      <c r="R321" s="18">
        <f t="shared" si="269"/>
        <v>25.555189868088878</v>
      </c>
      <c r="S321" s="18">
        <f t="shared" si="270"/>
        <v>1.5316553387229641</v>
      </c>
      <c r="T321" s="18" t="str">
        <f t="shared" si="259"/>
        <v>1+0.119166212083999i</v>
      </c>
      <c r="U321" s="18">
        <f t="shared" si="271"/>
        <v>1.0070752633753093</v>
      </c>
      <c r="V321" s="18">
        <f t="shared" si="272"/>
        <v>0.11860689331298946</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-0.0797159779096844-0.924669587561547i</v>
      </c>
      <c r="AD321" s="66">
        <f t="shared" si="278"/>
        <v>-0.64811022730519208</v>
      </c>
      <c r="AE321" s="63">
        <f t="shared" si="279"/>
        <v>-94.927299536855841</v>
      </c>
      <c r="AF321" s="51" t="e">
        <f t="shared" si="280"/>
        <v>#NUM!</v>
      </c>
      <c r="AG321" s="51" t="str">
        <f t="shared" si="262"/>
        <v>1-35.7498636251999i</v>
      </c>
      <c r="AH321" s="51">
        <f t="shared" si="281"/>
        <v>35.763846957792317</v>
      </c>
      <c r="AI321" s="51">
        <f t="shared" si="282"/>
        <v>-1.5428314842037207</v>
      </c>
      <c r="AJ321" s="51" t="str">
        <f t="shared" si="263"/>
        <v>1+0.119166212083999i</v>
      </c>
      <c r="AK321" s="51">
        <f t="shared" si="283"/>
        <v>1.0070752633753093</v>
      </c>
      <c r="AL321" s="51">
        <f t="shared" si="284"/>
        <v>0.11860689331298946</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0.356078283328525+0.439352059505612i</v>
      </c>
      <c r="BG321" s="66">
        <f t="shared" si="300"/>
        <v>-4.9509169772129171</v>
      </c>
      <c r="BH321" s="63">
        <f t="shared" si="301"/>
        <v>50.97653674767087</v>
      </c>
      <c r="BI321" s="60" t="e">
        <f t="shared" si="306"/>
        <v>#NUM!</v>
      </c>
      <c r="BJ321" s="66" t="e">
        <f t="shared" si="302"/>
        <v>#NUM!</v>
      </c>
      <c r="BK321" s="63" t="e">
        <f t="shared" si="307"/>
        <v>#NUM!</v>
      </c>
      <c r="BL321" s="51">
        <f t="shared" si="303"/>
        <v>-4.9509169772129171</v>
      </c>
      <c r="BM321" s="63">
        <f t="shared" si="304"/>
        <v>50.97653674767087</v>
      </c>
    </row>
    <row r="322" spans="14:65" x14ac:dyDescent="0.3">
      <c r="N322" s="11">
        <v>4</v>
      </c>
      <c r="O322" s="52">
        <f t="shared" si="308"/>
        <v>10964.781961431856</v>
      </c>
      <c r="P322" s="50" t="str">
        <f t="shared" si="257"/>
        <v>23.3035714285714</v>
      </c>
      <c r="Q322" s="18" t="str">
        <f t="shared" si="258"/>
        <v>1+26.1304178018997i</v>
      </c>
      <c r="R322" s="18">
        <f t="shared" si="269"/>
        <v>26.149545588821169</v>
      </c>
      <c r="S322" s="18">
        <f t="shared" si="270"/>
        <v>1.5325454174787614</v>
      </c>
      <c r="T322" s="18" t="str">
        <f t="shared" si="259"/>
        <v>1+0.121941949742199i</v>
      </c>
      <c r="U322" s="18">
        <f t="shared" si="271"/>
        <v>1.0074074841428016</v>
      </c>
      <c r="V322" s="18">
        <f t="shared" si="272"/>
        <v>0.12134286663130278</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-0.0813640377050302-0.904094316481308i</v>
      </c>
      <c r="AD322" s="66">
        <f t="shared" si="278"/>
        <v>-0.84069288807113896</v>
      </c>
      <c r="AE322" s="63">
        <f t="shared" si="279"/>
        <v>-95.142484761930163</v>
      </c>
      <c r="AF322" s="51" t="e">
        <f t="shared" si="280"/>
        <v>#NUM!</v>
      </c>
      <c r="AG322" s="51" t="str">
        <f t="shared" si="262"/>
        <v>1-36.5825849226597i</v>
      </c>
      <c r="AH322" s="51">
        <f t="shared" si="281"/>
        <v>36.596250075979221</v>
      </c>
      <c r="AI322" s="51">
        <f t="shared" si="282"/>
        <v>-1.5434677211531147</v>
      </c>
      <c r="AJ322" s="51" t="str">
        <f t="shared" si="263"/>
        <v>1+0.121941949742199i</v>
      </c>
      <c r="AK322" s="51">
        <f t="shared" si="283"/>
        <v>1.0074074841428016</v>
      </c>
      <c r="AL322" s="51">
        <f t="shared" si="284"/>
        <v>0.12134286663130278</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0.351145628528836+0.423386858918997i</v>
      </c>
      <c r="BG322" s="66">
        <f t="shared" si="300"/>
        <v>-5.1918894102303152</v>
      </c>
      <c r="BH322" s="63">
        <f t="shared" si="301"/>
        <v>50.328604388116709</v>
      </c>
      <c r="BI322" s="60" t="e">
        <f t="shared" si="306"/>
        <v>#NUM!</v>
      </c>
      <c r="BJ322" s="66" t="e">
        <f t="shared" si="302"/>
        <v>#NUM!</v>
      </c>
      <c r="BK322" s="63" t="e">
        <f t="shared" si="307"/>
        <v>#NUM!</v>
      </c>
      <c r="BL322" s="51">
        <f t="shared" si="303"/>
        <v>-5.1918894102303152</v>
      </c>
      <c r="BM322" s="63">
        <f t="shared" si="304"/>
        <v>50.328604388116709</v>
      </c>
    </row>
    <row r="323" spans="14:65" x14ac:dyDescent="0.3">
      <c r="N323" s="11">
        <v>5</v>
      </c>
      <c r="O323" s="52">
        <f t="shared" si="308"/>
        <v>11220.184543019639</v>
      </c>
      <c r="P323" s="50" t="str">
        <f t="shared" si="257"/>
        <v>23.3035714285714</v>
      </c>
      <c r="Q323" s="18" t="str">
        <f t="shared" si="258"/>
        <v>1+26.7390734220522i</v>
      </c>
      <c r="R323" s="18">
        <f t="shared" si="269"/>
        <v>26.757766115090746</v>
      </c>
      <c r="S323" s="18">
        <f t="shared" si="270"/>
        <v>1.5334152941654671</v>
      </c>
      <c r="T323" s="18" t="str">
        <f t="shared" si="259"/>
        <v>1+0.124782342636244i</v>
      </c>
      <c r="U323" s="18">
        <f t="shared" si="271"/>
        <v>1.007755244607434</v>
      </c>
      <c r="V323" s="18">
        <f t="shared" si="272"/>
        <v>0.12414068001992774</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-0.0829414721268605-0.883992598736471i</v>
      </c>
      <c r="AD323" s="66">
        <f t="shared" si="278"/>
        <v>-1.0329624173286964</v>
      </c>
      <c r="AE323" s="63">
        <f t="shared" si="279"/>
        <v>-95.360140432609086</v>
      </c>
      <c r="AF323" s="51" t="e">
        <f t="shared" si="280"/>
        <v>#NUM!</v>
      </c>
      <c r="AG323" s="51" t="str">
        <f t="shared" si="262"/>
        <v>1-37.4347027908732i</v>
      </c>
      <c r="AH323" s="51">
        <f t="shared" si="281"/>
        <v>37.448056999542843</v>
      </c>
      <c r="AI323" s="51">
        <f t="shared" si="282"/>
        <v>-1.5440894969666303</v>
      </c>
      <c r="AJ323" s="51" t="str">
        <f t="shared" si="263"/>
        <v>1+0.124782342636244i</v>
      </c>
      <c r="AK323" s="51">
        <f t="shared" si="283"/>
        <v>1.007755244607434</v>
      </c>
      <c r="AL323" s="51">
        <f t="shared" si="284"/>
        <v>0.12414068001992774</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0.346207776984565+0.407781172028825i</v>
      </c>
      <c r="BG323" s="66">
        <f t="shared" si="300"/>
        <v>-5.4341336925992989</v>
      </c>
      <c r="BH323" s="63">
        <f t="shared" si="301"/>
        <v>49.668615463656984</v>
      </c>
      <c r="BI323" s="60" t="e">
        <f t="shared" si="306"/>
        <v>#NUM!</v>
      </c>
      <c r="BJ323" s="66" t="e">
        <f t="shared" si="302"/>
        <v>#NUM!</v>
      </c>
      <c r="BK323" s="63" t="e">
        <f t="shared" si="307"/>
        <v>#NUM!</v>
      </c>
      <c r="BL323" s="51">
        <f t="shared" si="303"/>
        <v>-5.4341336925992989</v>
      </c>
      <c r="BM323" s="63">
        <f t="shared" si="304"/>
        <v>49.668615463656984</v>
      </c>
    </row>
    <row r="324" spans="14:65" x14ac:dyDescent="0.3">
      <c r="N324" s="11">
        <v>6</v>
      </c>
      <c r="O324" s="52">
        <f t="shared" si="308"/>
        <v>11481.536214968832</v>
      </c>
      <c r="P324" s="50" t="str">
        <f t="shared" si="257"/>
        <v>23.3035714285714</v>
      </c>
      <c r="Q324" s="18" t="str">
        <f t="shared" si="258"/>
        <v>1+27.3619064528666i</v>
      </c>
      <c r="R324" s="18">
        <f t="shared" si="269"/>
        <v>27.380173935448671</v>
      </c>
      <c r="S324" s="18">
        <f t="shared" si="270"/>
        <v>1.5342654247344254</v>
      </c>
      <c r="T324" s="18" t="str">
        <f t="shared" si="259"/>
        <v>1+0.127688896780044i</v>
      </c>
      <c r="U324" s="18">
        <f t="shared" si="271"/>
        <v>1.0081192659407441</v>
      </c>
      <c r="V324" s="18">
        <f t="shared" si="272"/>
        <v>0.1270016416178763</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-0.084451596236601-0.864354126569497i</v>
      </c>
      <c r="AD324" s="66">
        <f t="shared" si="278"/>
        <v>-1.2249036532351054</v>
      </c>
      <c r="AE324" s="63">
        <f t="shared" si="279"/>
        <v>-95.580363754553829</v>
      </c>
      <c r="AF324" s="51" t="e">
        <f t="shared" si="280"/>
        <v>#NUM!</v>
      </c>
      <c r="AG324" s="51" t="str">
        <f t="shared" si="262"/>
        <v>1-38.3066690340134i</v>
      </c>
      <c r="AH324" s="51">
        <f t="shared" si="281"/>
        <v>38.319719368511059</v>
      </c>
      <c r="AI324" s="51">
        <f t="shared" si="282"/>
        <v>-1.5446971393938793</v>
      </c>
      <c r="AJ324" s="51" t="str">
        <f t="shared" si="263"/>
        <v>1+0.127688896780044i</v>
      </c>
      <c r="AK324" s="51">
        <f t="shared" si="283"/>
        <v>1.0081192659407441</v>
      </c>
      <c r="AL324" s="51">
        <f t="shared" si="284"/>
        <v>0.1270016416178763</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0.341262064638582+0.392531047567076i</v>
      </c>
      <c r="BG324" s="66">
        <f t="shared" si="300"/>
        <v>-5.6776783998442042</v>
      </c>
      <c r="BH324" s="63">
        <f t="shared" si="301"/>
        <v>48.996672019557707</v>
      </c>
      <c r="BI324" s="60" t="e">
        <f t="shared" si="306"/>
        <v>#NUM!</v>
      </c>
      <c r="BJ324" s="66" t="e">
        <f t="shared" si="302"/>
        <v>#NUM!</v>
      </c>
      <c r="BK324" s="63" t="e">
        <f t="shared" si="307"/>
        <v>#NUM!</v>
      </c>
      <c r="BL324" s="51">
        <f t="shared" si="303"/>
        <v>-5.6776783998442042</v>
      </c>
      <c r="BM324" s="63">
        <f t="shared" si="304"/>
        <v>48.996672019557707</v>
      </c>
    </row>
    <row r="325" spans="14:65" x14ac:dyDescent="0.3">
      <c r="N325" s="11">
        <v>7</v>
      </c>
      <c r="O325" s="52">
        <f t="shared" si="308"/>
        <v>11748.975549395318</v>
      </c>
      <c r="P325" s="50" t="str">
        <f t="shared" si="257"/>
        <v>23.3035714285714</v>
      </c>
      <c r="Q325" s="18" t="str">
        <f t="shared" si="258"/>
        <v>1+27.99924712866i</v>
      </c>
      <c r="R325" s="18">
        <f t="shared" si="269"/>
        <v>28.017099060605382</v>
      </c>
      <c r="S325" s="18">
        <f t="shared" si="270"/>
        <v>1.5350962550180463</v>
      </c>
      <c r="T325" s="18" t="str">
        <f t="shared" si="259"/>
        <v>1+0.13066315326708i</v>
      </c>
      <c r="U325" s="18">
        <f t="shared" si="271"/>
        <v>1.0085003022417478</v>
      </c>
      <c r="V325" s="18">
        <f t="shared" si="272"/>
        <v>0.12992708090682262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-0.0858975845005271-0.845168812010356i</v>
      </c>
      <c r="AD325" s="66">
        <f t="shared" si="278"/>
        <v>-1.4165008519173554</v>
      </c>
      <c r="AE325" s="63">
        <f t="shared" si="279"/>
        <v>-95.803252122829093</v>
      </c>
      <c r="AF325" s="51" t="e">
        <f t="shared" si="280"/>
        <v>#NUM!</v>
      </c>
      <c r="AG325" s="51" t="str">
        <f t="shared" si="262"/>
        <v>1-39.1989459801241i</v>
      </c>
      <c r="AH325" s="51">
        <f t="shared" si="281"/>
        <v>39.211699350483237</v>
      </c>
      <c r="AI325" s="51">
        <f t="shared" si="282"/>
        <v>-1.5452909688190166</v>
      </c>
      <c r="AJ325" s="51" t="str">
        <f t="shared" si="263"/>
        <v>1+0.13066315326708i</v>
      </c>
      <c r="AK325" s="51">
        <f t="shared" si="283"/>
        <v>1.0085003022417478</v>
      </c>
      <c r="AL325" s="51">
        <f t="shared" si="284"/>
        <v>0.12992708090682262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0.336306181537138+0.377632755978176i</v>
      </c>
      <c r="BG325" s="66">
        <f t="shared" si="300"/>
        <v>-5.9225509669764289</v>
      </c>
      <c r="BH325" s="63">
        <f t="shared" si="301"/>
        <v>48.312886903339709</v>
      </c>
      <c r="BI325" s="60" t="e">
        <f t="shared" si="306"/>
        <v>#NUM!</v>
      </c>
      <c r="BJ325" s="66" t="e">
        <f t="shared" si="302"/>
        <v>#NUM!</v>
      </c>
      <c r="BK325" s="63" t="e">
        <f t="shared" si="307"/>
        <v>#NUM!</v>
      </c>
      <c r="BL325" s="51">
        <f t="shared" si="303"/>
        <v>-5.9225509669764289</v>
      </c>
      <c r="BM325" s="63">
        <f t="shared" si="304"/>
        <v>48.312886903339709</v>
      </c>
    </row>
    <row r="326" spans="14:65" x14ac:dyDescent="0.3">
      <c r="N326" s="11">
        <v>8</v>
      </c>
      <c r="O326" s="52">
        <f t="shared" si="308"/>
        <v>12022.644346174151</v>
      </c>
      <c r="P326" s="50" t="str">
        <f t="shared" si="257"/>
        <v>23.3035714285714</v>
      </c>
      <c r="Q326" s="18" t="str">
        <f t="shared" si="258"/>
        <v>1+28.6514333758948i</v>
      </c>
      <c r="R326" s="18">
        <f t="shared" si="269"/>
        <v>28.668879198415453</v>
      </c>
      <c r="S326" s="18">
        <f t="shared" si="270"/>
        <v>1.535908220942886</v>
      </c>
      <c r="T326" s="18" t="str">
        <f t="shared" si="259"/>
        <v>1+0.133706689087509i</v>
      </c>
      <c r="U326" s="18">
        <f t="shared" si="271"/>
        <v>1.008899141989299</v>
      </c>
      <c r="V326" s="18">
        <f t="shared" si="272"/>
        <v>0.13291834859506924</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-0.087282477281836-0.826426783062567i</v>
      </c>
      <c r="AD326" s="66">
        <f t="shared" si="278"/>
        <v>-1.6077376645219212</v>
      </c>
      <c r="AE326" s="63">
        <f t="shared" si="279"/>
        <v>-96.028903097079905</v>
      </c>
      <c r="AF326" s="51" t="e">
        <f t="shared" si="280"/>
        <v>#NUM!</v>
      </c>
      <c r="AG326" s="51" t="str">
        <f t="shared" si="262"/>
        <v>1-40.1120067262528i</v>
      </c>
      <c r="AH326" s="51">
        <f t="shared" si="281"/>
        <v>40.124469885681357</v>
      </c>
      <c r="AI326" s="51">
        <f t="shared" si="282"/>
        <v>-1.5458712984220715</v>
      </c>
      <c r="AJ326" s="51" t="str">
        <f t="shared" si="263"/>
        <v>1+0.133706689087509i</v>
      </c>
      <c r="AK326" s="51">
        <f t="shared" si="283"/>
        <v>1.008899141989299</v>
      </c>
      <c r="AL326" s="51">
        <f t="shared" si="284"/>
        <v>0.13291834859506924</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0.331338171496244+0.363082770813029i</v>
      </c>
      <c r="BG326" s="66">
        <f t="shared" si="300"/>
        <v>-6.1687775668410447</v>
      </c>
      <c r="BH326" s="63">
        <f t="shared" si="301"/>
        <v>47.61738388296245</v>
      </c>
      <c r="BI326" s="60" t="e">
        <f t="shared" si="306"/>
        <v>#NUM!</v>
      </c>
      <c r="BJ326" s="66" t="e">
        <f t="shared" si="302"/>
        <v>#NUM!</v>
      </c>
      <c r="BK326" s="63" t="e">
        <f t="shared" si="307"/>
        <v>#NUM!</v>
      </c>
      <c r="BL326" s="51">
        <f t="shared" si="303"/>
        <v>-6.1687775668410447</v>
      </c>
      <c r="BM326" s="63">
        <f t="shared" si="304"/>
        <v>47.61738388296245</v>
      </c>
    </row>
    <row r="327" spans="14:65" x14ac:dyDescent="0.3">
      <c r="N327" s="11">
        <v>9</v>
      </c>
      <c r="O327" s="52">
        <f t="shared" si="308"/>
        <v>12302.687708123816</v>
      </c>
      <c r="P327" s="50" t="str">
        <f t="shared" si="257"/>
        <v>23.3035714285714</v>
      </c>
      <c r="Q327" s="18" t="str">
        <f t="shared" si="258"/>
        <v>1+29.318810992352i</v>
      </c>
      <c r="R327" s="18">
        <f t="shared" si="269"/>
        <v>29.335859932943169</v>
      </c>
      <c r="S327" s="18">
        <f t="shared" si="270"/>
        <v>1.5367017487390198</v>
      </c>
      <c r="T327" s="18" t="str">
        <f t="shared" si="259"/>
        <v>1+0.13682111796431i</v>
      </c>
      <c r="U327" s="18">
        <f t="shared" si="271"/>
        <v>1.0093166095537136</v>
      </c>
      <c r="V327" s="18">
        <f t="shared" si="272"/>
        <v>0.13597681645960996</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-0.0886091870646446-0.808118379890575i</v>
      </c>
      <c r="AD327" s="66">
        <f t="shared" si="278"/>
        <v>-1.7985971138968342</v>
      </c>
      <c r="AE327" s="63">
        <f t="shared" si="279"/>
        <v>-96.257414372648626</v>
      </c>
      <c r="AF327" s="51" t="e">
        <f t="shared" si="280"/>
        <v>#NUM!</v>
      </c>
      <c r="AG327" s="51" t="str">
        <f t="shared" si="262"/>
        <v>1-41.0463353892929i</v>
      </c>
      <c r="AH327" s="51">
        <f t="shared" si="281"/>
        <v>41.05851493771199</v>
      </c>
      <c r="AI327" s="51">
        <f t="shared" si="282"/>
        <v>-1.546438434337027</v>
      </c>
      <c r="AJ327" s="51" t="str">
        <f t="shared" si="263"/>
        <v>1+0.13682111796431i</v>
      </c>
      <c r="AK327" s="51">
        <f t="shared" si="283"/>
        <v>1.0093166095537136</v>
      </c>
      <c r="AL327" s="51">
        <f t="shared" si="284"/>
        <v>0.13597681645960996</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0.326356431149241+0.348877749511345i</v>
      </c>
      <c r="BG327" s="66">
        <f t="shared" si="300"/>
        <v>-6.4163829849083012</v>
      </c>
      <c r="BH327" s="63">
        <f t="shared" si="301"/>
        <v>46.910297724951974</v>
      </c>
      <c r="BI327" s="60" t="e">
        <f t="shared" si="306"/>
        <v>#NUM!</v>
      </c>
      <c r="BJ327" s="66" t="e">
        <f t="shared" si="302"/>
        <v>#NUM!</v>
      </c>
      <c r="BK327" s="63" t="e">
        <f t="shared" si="307"/>
        <v>#NUM!</v>
      </c>
      <c r="BL327" s="51">
        <f t="shared" si="303"/>
        <v>-6.4163829849083012</v>
      </c>
      <c r="BM327" s="63">
        <f t="shared" si="304"/>
        <v>46.910297724951974</v>
      </c>
    </row>
    <row r="328" spans="14:65" x14ac:dyDescent="0.3">
      <c r="N328" s="11">
        <v>10</v>
      </c>
      <c r="O328" s="52">
        <f t="shared" si="308"/>
        <v>12589.254117941671</v>
      </c>
      <c r="P328" s="50" t="str">
        <f t="shared" si="257"/>
        <v>23.3035714285714</v>
      </c>
      <c r="Q328" s="18" t="str">
        <f t="shared" si="258"/>
        <v>1+30.0017338304777i</v>
      </c>
      <c r="R328" s="18">
        <f t="shared" si="269"/>
        <v>30.018394907703343</v>
      </c>
      <c r="S328" s="18">
        <f t="shared" si="270"/>
        <v>1.5374772551457161</v>
      </c>
      <c r="T328" s="18" t="str">
        <f t="shared" si="259"/>
        <v>1+0.140008091208896i</v>
      </c>
      <c r="U328" s="18">
        <f t="shared" si="271"/>
        <v>1.0097535667696147</v>
      </c>
      <c r="V328" s="18">
        <f t="shared" si="272"/>
        <v>0.13910387714302325</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-0.0898805044212535-0.790234151013035i</v>
      </c>
      <c r="AD328" s="66">
        <f t="shared" si="278"/>
        <v>-1.9890615709335491</v>
      </c>
      <c r="AE328" s="63">
        <f t="shared" si="279"/>
        <v>-96.488883747431942</v>
      </c>
      <c r="AF328" s="51" t="e">
        <f t="shared" si="280"/>
        <v>#NUM!</v>
      </c>
      <c r="AG328" s="51" t="str">
        <f t="shared" si="262"/>
        <v>1-42.0024273626689i</v>
      </c>
      <c r="AH328" s="51">
        <f t="shared" si="281"/>
        <v>42.014329750173054</v>
      </c>
      <c r="AI328" s="51">
        <f t="shared" si="282"/>
        <v>-1.5469926758066928</v>
      </c>
      <c r="AJ328" s="51" t="str">
        <f t="shared" si="263"/>
        <v>1+0.140008091208896i</v>
      </c>
      <c r="AK328" s="51">
        <f t="shared" si="283"/>
        <v>1.0097535667696147</v>
      </c>
      <c r="AL328" s="51">
        <f t="shared" si="284"/>
        <v>0.13910387714302325</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0.321359708261703+0.335014513625584i</v>
      </c>
      <c r="BG328" s="66">
        <f t="shared" si="300"/>
        <v>-6.6653904910251214</v>
      </c>
      <c r="BH328" s="63">
        <f t="shared" si="301"/>
        <v>46.191774229973689</v>
      </c>
      <c r="BI328" s="60" t="e">
        <f t="shared" si="306"/>
        <v>#NUM!</v>
      </c>
      <c r="BJ328" s="66" t="e">
        <f t="shared" si="302"/>
        <v>#NUM!</v>
      </c>
      <c r="BK328" s="63" t="e">
        <f t="shared" si="307"/>
        <v>#NUM!</v>
      </c>
      <c r="BL328" s="51">
        <f t="shared" si="303"/>
        <v>-6.6653904910251214</v>
      </c>
      <c r="BM328" s="63">
        <f t="shared" si="304"/>
        <v>46.191774229973689</v>
      </c>
    </row>
    <row r="329" spans="14:65" x14ac:dyDescent="0.3">
      <c r="N329" s="11">
        <v>11</v>
      </c>
      <c r="O329" s="52">
        <f t="shared" si="308"/>
        <v>12882.49551693136</v>
      </c>
      <c r="P329" s="50" t="str">
        <f t="shared" si="257"/>
        <v>23.3035714285714</v>
      </c>
      <c r="Q329" s="18" t="str">
        <f t="shared" si="258"/>
        <v>1+30.7005639850004i</v>
      </c>
      <c r="R329" s="18">
        <f t="shared" si="269"/>
        <v>30.71684601317498</v>
      </c>
      <c r="S329" s="18">
        <f t="shared" si="270"/>
        <v>1.5382351476134248</v>
      </c>
      <c r="T329" s="18" t="str">
        <f t="shared" si="259"/>
        <v>1+0.143269298596668i</v>
      </c>
      <c r="U329" s="18">
        <f t="shared" si="271"/>
        <v>1.0102109145719922</v>
      </c>
      <c r="V329" s="18">
        <f t="shared" si="272"/>
        <v>0.14230094390179471</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-0.0910991037335819-0.77276484950616i</v>
      </c>
      <c r="AD329" s="66">
        <f t="shared" si="278"/>
        <v>-2.1791127306003752</v>
      </c>
      <c r="AE329" s="63">
        <f t="shared" si="279"/>
        <v>-96.723409084273328</v>
      </c>
      <c r="AF329" s="51" t="e">
        <f t="shared" si="280"/>
        <v>#NUM!</v>
      </c>
      <c r="AG329" s="51" t="str">
        <f t="shared" si="262"/>
        <v>1-42.9807895790006i</v>
      </c>
      <c r="AH329" s="51">
        <f t="shared" si="281"/>
        <v>42.992421109241185</v>
      </c>
      <c r="AI329" s="51">
        <f t="shared" si="282"/>
        <v>-1.547534315334421</v>
      </c>
      <c r="AJ329" s="51" t="str">
        <f t="shared" si="263"/>
        <v>1+0.143269298596668i</v>
      </c>
      <c r="AK329" s="51">
        <f t="shared" si="283"/>
        <v>1.0102109145719922</v>
      </c>
      <c r="AL329" s="51">
        <f t="shared" si="284"/>
        <v>0.14230094390179471</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0.316347099204093+0.321490028553356i</v>
      </c>
      <c r="BG329" s="66">
        <f t="shared" si="300"/>
        <v>-6.915821708699454</v>
      </c>
      <c r="BH329" s="63">
        <f t="shared" si="301"/>
        <v>45.46197022358831</v>
      </c>
      <c r="BI329" s="60" t="e">
        <f t="shared" si="306"/>
        <v>#NUM!</v>
      </c>
      <c r="BJ329" s="66" t="e">
        <f t="shared" si="302"/>
        <v>#NUM!</v>
      </c>
      <c r="BK329" s="63" t="e">
        <f t="shared" si="307"/>
        <v>#NUM!</v>
      </c>
      <c r="BL329" s="51">
        <f t="shared" si="303"/>
        <v>-6.915821708699454</v>
      </c>
      <c r="BM329" s="63">
        <f t="shared" si="304"/>
        <v>45.46197022358831</v>
      </c>
    </row>
    <row r="330" spans="14:65" x14ac:dyDescent="0.3">
      <c r="N330" s="11">
        <v>12</v>
      </c>
      <c r="O330" s="52">
        <f t="shared" si="308"/>
        <v>13182.567385564091</v>
      </c>
      <c r="P330" s="50" t="str">
        <f t="shared" si="257"/>
        <v>23.3035714285714</v>
      </c>
      <c r="Q330" s="18" t="str">
        <f t="shared" si="258"/>
        <v>1+31.4156719849178i</v>
      </c>
      <c r="R330" s="18">
        <f t="shared" si="269"/>
        <v>31.431583578686411</v>
      </c>
      <c r="S330" s="18">
        <f t="shared" si="270"/>
        <v>1.5389758245020997</v>
      </c>
      <c r="T330" s="18" t="str">
        <f t="shared" si="259"/>
        <v>1+0.14660646926295i</v>
      </c>
      <c r="U330" s="18">
        <f t="shared" si="271"/>
        <v>1.0106895946974759</v>
      </c>
      <c r="V330" s="18">
        <f t="shared" si="272"/>
        <v>0.14556945030243423</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-0.0922675486792871-0.755701429220874i</v>
      </c>
      <c r="AD330" s="66">
        <f t="shared" si="278"/>
        <v>-2.3687315877044042</v>
      </c>
      <c r="AE330" s="63">
        <f t="shared" si="279"/>
        <v>-96.961088268686893</v>
      </c>
      <c r="AF330" s="51" t="e">
        <f t="shared" si="280"/>
        <v>#NUM!</v>
      </c>
      <c r="AG330" s="51" t="str">
        <f t="shared" si="262"/>
        <v>1-43.981940778885i</v>
      </c>
      <c r="AH330" s="51">
        <f t="shared" si="281"/>
        <v>43.993307612378345</v>
      </c>
      <c r="AI330" s="51">
        <f t="shared" si="282"/>
        <v>-1.5480636388327094</v>
      </c>
      <c r="AJ330" s="51" t="str">
        <f t="shared" si="263"/>
        <v>1+0.14660646926295i</v>
      </c>
      <c r="AK330" s="51">
        <f t="shared" si="283"/>
        <v>1.0106895946974759</v>
      </c>
      <c r="AL330" s="51">
        <f t="shared" si="284"/>
        <v>0.14556945030243423</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0.311318045478736+0.308301382858726i</v>
      </c>
      <c r="BG330" s="66">
        <f t="shared" si="300"/>
        <v>-7.1676964825418317</v>
      </c>
      <c r="BH330" s="63">
        <f t="shared" si="301"/>
        <v>44.721053500211667</v>
      </c>
      <c r="BI330" s="60" t="e">
        <f t="shared" si="306"/>
        <v>#NUM!</v>
      </c>
      <c r="BJ330" s="66" t="e">
        <f t="shared" si="302"/>
        <v>#NUM!</v>
      </c>
      <c r="BK330" s="63" t="e">
        <f t="shared" si="307"/>
        <v>#NUM!</v>
      </c>
      <c r="BL330" s="51">
        <f t="shared" si="303"/>
        <v>-7.1676964825418317</v>
      </c>
      <c r="BM330" s="63">
        <f t="shared" si="304"/>
        <v>44.721053500211667</v>
      </c>
    </row>
    <row r="331" spans="14:65" x14ac:dyDescent="0.3">
      <c r="N331" s="11">
        <v>13</v>
      </c>
      <c r="O331" s="52">
        <f t="shared" si="308"/>
        <v>13489.628825916556</v>
      </c>
      <c r="P331" s="50" t="str">
        <f t="shared" si="257"/>
        <v>23.3035714285714</v>
      </c>
      <c r="Q331" s="18" t="str">
        <f t="shared" si="258"/>
        <v>1+32.1474369899572i</v>
      </c>
      <c r="R331" s="18">
        <f t="shared" si="269"/>
        <v>32.162986568776041</v>
      </c>
      <c r="S331" s="18">
        <f t="shared" si="270"/>
        <v>1.5396996752758765</v>
      </c>
      <c r="T331" s="18" t="str">
        <f t="shared" si="259"/>
        <v>1+0.1500213726198i</v>
      </c>
      <c r="U331" s="18">
        <f t="shared" si="271"/>
        <v>1.0111905914528323</v>
      </c>
      <c r="V331" s="18">
        <f t="shared" si="272"/>
        <v>0.14891084986161118</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-0.0933882974926474-0.739035041016874i</v>
      </c>
      <c r="AD331" s="66">
        <f t="shared" si="278"/>
        <v>-2.5578984124271722</v>
      </c>
      <c r="AE331" s="63">
        <f t="shared" si="279"/>
        <v>-97.202019161707625</v>
      </c>
      <c r="AF331" s="51" t="e">
        <f t="shared" si="280"/>
        <v>#NUM!</v>
      </c>
      <c r="AG331" s="51" t="str">
        <f t="shared" si="262"/>
        <v>1-45.0064117859401i</v>
      </c>
      <c r="AH331" s="51">
        <f t="shared" si="281"/>
        <v>45.017519943302169</v>
      </c>
      <c r="AI331" s="51">
        <f t="shared" si="282"/>
        <v>-1.548580925768742</v>
      </c>
      <c r="AJ331" s="51" t="str">
        <f t="shared" si="263"/>
        <v>1+0.1500213726198i</v>
      </c>
      <c r="AK331" s="51">
        <f t="shared" si="283"/>
        <v>1.0111905914528323</v>
      </c>
      <c r="AL331" s="51">
        <f t="shared" si="284"/>
        <v>0.14891084986161118</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0.306272329205445+0.295445767275966i</v>
      </c>
      <c r="BG331" s="66">
        <f t="shared" si="300"/>
        <v>-7.4210327445412885</v>
      </c>
      <c r="BH331" s="63">
        <f t="shared" si="301"/>
        <v>43.969202718623237</v>
      </c>
      <c r="BI331" s="60" t="e">
        <f t="shared" si="306"/>
        <v>#NUM!</v>
      </c>
      <c r="BJ331" s="66" t="e">
        <f t="shared" si="302"/>
        <v>#NUM!</v>
      </c>
      <c r="BK331" s="63" t="e">
        <f t="shared" si="307"/>
        <v>#NUM!</v>
      </c>
      <c r="BL331" s="51">
        <f t="shared" si="303"/>
        <v>-7.4210327445412885</v>
      </c>
      <c r="BM331" s="63">
        <f t="shared" si="304"/>
        <v>43.969202718623237</v>
      </c>
    </row>
    <row r="332" spans="14:65" x14ac:dyDescent="0.3">
      <c r="N332" s="11">
        <v>14</v>
      </c>
      <c r="O332" s="52">
        <f t="shared" si="308"/>
        <v>13803.842646028841</v>
      </c>
      <c r="P332" s="50" t="str">
        <f t="shared" si="257"/>
        <v>23.3035714285714</v>
      </c>
      <c r="Q332" s="18" t="str">
        <f t="shared" si="258"/>
        <v>1+32.8962469916102i</v>
      </c>
      <c r="R332" s="18">
        <f t="shared" si="269"/>
        <v>32.911442784129399</v>
      </c>
      <c r="S332" s="18">
        <f t="shared" si="270"/>
        <v>1.540407080694131</v>
      </c>
      <c r="T332" s="18" t="str">
        <f t="shared" si="259"/>
        <v>1+0.153515819294181i</v>
      </c>
      <c r="U332" s="18">
        <f t="shared" si="271"/>
        <v>1.0117149335527096</v>
      </c>
      <c r="V332" s="18">
        <f t="shared" si="272"/>
        <v>0.15232661562631691</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-0.094463708009911-0.722757029016757i</v>
      </c>
      <c r="AD332" s="66">
        <f t="shared" si="278"/>
        <v>-2.7465927256807228</v>
      </c>
      <c r="AE332" s="63">
        <f t="shared" si="279"/>
        <v>-97.446299547661951</v>
      </c>
      <c r="AF332" s="51" t="e">
        <f t="shared" si="280"/>
        <v>#NUM!</v>
      </c>
      <c r="AG332" s="51" t="str">
        <f t="shared" si="262"/>
        <v>1-46.0547457882544i</v>
      </c>
      <c r="AH332" s="51">
        <f t="shared" si="281"/>
        <v>46.06560115336319</v>
      </c>
      <c r="AI332" s="51">
        <f t="shared" si="282"/>
        <v>-1.5490864493069154</v>
      </c>
      <c r="AJ332" s="51" t="str">
        <f t="shared" si="263"/>
        <v>1+0.153515819294181i</v>
      </c>
      <c r="AK332" s="51">
        <f t="shared" si="283"/>
        <v>1.0117149335527096</v>
      </c>
      <c r="AL332" s="51">
        <f t="shared" si="284"/>
        <v>0.15232661562631691</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0.301210067479906+0.282920453501971i</v>
      </c>
      <c r="BG332" s="66">
        <f t="shared" si="300"/>
        <v>-7.6758463798963215</v>
      </c>
      <c r="BH332" s="63">
        <f t="shared" si="301"/>
        <v>43.206607247729337</v>
      </c>
      <c r="BI332" s="60" t="e">
        <f t="shared" si="306"/>
        <v>#NUM!</v>
      </c>
      <c r="BJ332" s="66" t="e">
        <f t="shared" si="302"/>
        <v>#NUM!</v>
      </c>
      <c r="BK332" s="63" t="e">
        <f t="shared" si="307"/>
        <v>#NUM!</v>
      </c>
      <c r="BL332" s="51">
        <f t="shared" si="303"/>
        <v>-7.6758463798963215</v>
      </c>
      <c r="BM332" s="63">
        <f t="shared" si="304"/>
        <v>43.206607247729337</v>
      </c>
    </row>
    <row r="333" spans="14:65" x14ac:dyDescent="0.3">
      <c r="N333" s="11">
        <v>15</v>
      </c>
      <c r="O333" s="52">
        <f t="shared" si="308"/>
        <v>14125.375446227561</v>
      </c>
      <c r="P333" s="50" t="str">
        <f t="shared" si="257"/>
        <v>23.3035714285714</v>
      </c>
      <c r="Q333" s="18" t="str">
        <f t="shared" si="258"/>
        <v>1+33.6624990188516i</v>
      </c>
      <c r="R333" s="18">
        <f t="shared" si="269"/>
        <v>33.677349067202201</v>
      </c>
      <c r="S333" s="18">
        <f t="shared" si="270"/>
        <v>1.5410984129989478</v>
      </c>
      <c r="T333" s="18" t="str">
        <f t="shared" si="259"/>
        <v>1+0.157091662087974i</v>
      </c>
      <c r="U333" s="18">
        <f t="shared" si="271"/>
        <v>1.0122636960286395</v>
      </c>
      <c r="V333" s="18">
        <f t="shared" si="272"/>
        <v>0.15581823968985431</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-0.0954960425084515-0.706858926882485i</v>
      </c>
      <c r="AD333" s="66">
        <f t="shared" si="278"/>
        <v>-2.9347932743432632</v>
      </c>
      <c r="AE333" s="63">
        <f t="shared" si="279"/>
        <v>-97.694027076660831</v>
      </c>
      <c r="AF333" s="51" t="e">
        <f t="shared" si="280"/>
        <v>#NUM!</v>
      </c>
      <c r="AG333" s="51" t="str">
        <f t="shared" si="262"/>
        <v>1-47.1274986263924i</v>
      </c>
      <c r="AH333" s="51">
        <f t="shared" si="281"/>
        <v>47.138106949480033</v>
      </c>
      <c r="AI333" s="51">
        <f t="shared" si="282"/>
        <v>-1.5495804764484002</v>
      </c>
      <c r="AJ333" s="51" t="str">
        <f t="shared" si="263"/>
        <v>1+0.157091662087974i</v>
      </c>
      <c r="AK333" s="51">
        <f t="shared" si="283"/>
        <v>1.0122636960286395</v>
      </c>
      <c r="AL333" s="51">
        <f t="shared" si="284"/>
        <v>0.15581823968985431</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0.296131705530143+0.27072277289508i</v>
      </c>
      <c r="BG333" s="66">
        <f t="shared" si="300"/>
        <v>-7.9321510931685921</v>
      </c>
      <c r="BH333" s="63">
        <f t="shared" si="301"/>
        <v>42.433466961689049</v>
      </c>
      <c r="BI333" s="60" t="e">
        <f t="shared" si="306"/>
        <v>#NUM!</v>
      </c>
      <c r="BJ333" s="66" t="e">
        <f t="shared" si="302"/>
        <v>#NUM!</v>
      </c>
      <c r="BK333" s="63" t="e">
        <f t="shared" si="307"/>
        <v>#NUM!</v>
      </c>
      <c r="BL333" s="51">
        <f t="shared" si="303"/>
        <v>-7.9321510931685921</v>
      </c>
      <c r="BM333" s="63">
        <f t="shared" si="304"/>
        <v>42.433466961689049</v>
      </c>
    </row>
    <row r="334" spans="14:65" x14ac:dyDescent="0.3">
      <c r="N334" s="11">
        <v>16</v>
      </c>
      <c r="O334" s="52">
        <f t="shared" si="308"/>
        <v>14454.397707459291</v>
      </c>
      <c r="P334" s="50" t="str">
        <f t="shared" si="257"/>
        <v>23.3035714285714</v>
      </c>
      <c r="Q334" s="18" t="str">
        <f t="shared" si="258"/>
        <v>1+34.4465993486486i</v>
      </c>
      <c r="R334" s="18">
        <f t="shared" si="269"/>
        <v>34.461111512635782</v>
      </c>
      <c r="S334" s="18">
        <f t="shared" si="270"/>
        <v>1.5417740360990284</v>
      </c>
      <c r="T334" s="18" t="str">
        <f t="shared" si="259"/>
        <v>1+0.16075079696036i</v>
      </c>
      <c r="U334" s="18">
        <f t="shared" si="271"/>
        <v>1.0128380022113068</v>
      </c>
      <c r="V334" s="18">
        <f t="shared" si="272"/>
        <v>0.15938723263928936</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-0.0964874723486159-0.691332454116536i</v>
      </c>
      <c r="AD334" s="66">
        <f t="shared" si="278"/>
        <v>-3.1224780064362552</v>
      </c>
      <c r="AE334" s="63">
        <f t="shared" si="279"/>
        <v>-97.945299201612656</v>
      </c>
      <c r="AF334" s="51" t="e">
        <f t="shared" si="280"/>
        <v>#NUM!</v>
      </c>
      <c r="AG334" s="51" t="str">
        <f t="shared" si="262"/>
        <v>1-48.2252390881082i</v>
      </c>
      <c r="AH334" s="51">
        <f t="shared" si="281"/>
        <v>48.235605988783831</v>
      </c>
      <c r="AI334" s="51">
        <f t="shared" si="282"/>
        <v>-1.5500632681677837</v>
      </c>
      <c r="AJ334" s="51" t="str">
        <f t="shared" si="263"/>
        <v>1+0.16075079696036i</v>
      </c>
      <c r="AK334" s="51">
        <f t="shared" si="283"/>
        <v>1.0128380022113068</v>
      </c>
      <c r="AL334" s="51">
        <f t="shared" si="284"/>
        <v>0.15938723263928936</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0.29103800860965+0.258850095208755i</v>
      </c>
      <c r="BG334" s="66">
        <f t="shared" si="300"/>
        <v>-8.1899582755591034</v>
      </c>
      <c r="BH334" s="63">
        <f t="shared" si="301"/>
        <v>41.649991983944837</v>
      </c>
      <c r="BI334" s="60" t="e">
        <f t="shared" si="306"/>
        <v>#NUM!</v>
      </c>
      <c r="BJ334" s="66" t="e">
        <f t="shared" si="302"/>
        <v>#NUM!</v>
      </c>
      <c r="BK334" s="63" t="e">
        <f t="shared" si="307"/>
        <v>#NUM!</v>
      </c>
      <c r="BL334" s="51">
        <f t="shared" si="303"/>
        <v>-8.1899582755591034</v>
      </c>
      <c r="BM334" s="63">
        <f t="shared" si="304"/>
        <v>41.649991983944837</v>
      </c>
    </row>
    <row r="335" spans="14:65" x14ac:dyDescent="0.3">
      <c r="N335" s="11">
        <v>17</v>
      </c>
      <c r="O335" s="52">
        <f t="shared" si="308"/>
        <v>14791.083881682089</v>
      </c>
      <c r="P335" s="50" t="str">
        <f t="shared" si="257"/>
        <v>23.3035714285714</v>
      </c>
      <c r="Q335" s="18" t="str">
        <f t="shared" si="258"/>
        <v>1+35.2489637213749i</v>
      </c>
      <c r="R335" s="18">
        <f t="shared" si="269"/>
        <v>35.263145682579193</v>
      </c>
      <c r="S335" s="18">
        <f t="shared" si="270"/>
        <v>1.5424343057500765</v>
      </c>
      <c r="T335" s="18" t="str">
        <f t="shared" si="259"/>
        <v>1+0.164495164033083i</v>
      </c>
      <c r="U335" s="18">
        <f t="shared" si="271"/>
        <v>1.0134390257880692</v>
      </c>
      <c r="V335" s="18">
        <f t="shared" si="272"/>
        <v>0.16303512292977285</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-0.0974400824269033-0.67616951238955i</v>
      </c>
      <c r="AD335" s="66">
        <f t="shared" si="278"/>
        <v>-3.3096240463148781</v>
      </c>
      <c r="AE335" s="63">
        <f t="shared" si="279"/>
        <v>-98.200213109570143</v>
      </c>
      <c r="AF335" s="51" t="e">
        <f t="shared" si="280"/>
        <v>#NUM!</v>
      </c>
      <c r="AG335" s="51" t="str">
        <f t="shared" si="262"/>
        <v>1-49.348549209925i</v>
      </c>
      <c r="AH335" s="51">
        <f t="shared" si="281"/>
        <v>49.358680180130307</v>
      </c>
      <c r="AI335" s="51">
        <f t="shared" si="282"/>
        <v>-1.5505350795468469</v>
      </c>
      <c r="AJ335" s="51" t="str">
        <f t="shared" si="263"/>
        <v>1+0.164495164033083i</v>
      </c>
      <c r="AK335" s="51">
        <f t="shared" si="283"/>
        <v>1.0134390257880692</v>
      </c>
      <c r="AL335" s="51">
        <f t="shared" si="284"/>
        <v>0.16303512292977285</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0.285930052580339+0.247299807497543i</v>
      </c>
      <c r="BG335" s="66">
        <f t="shared" si="300"/>
        <v>-8.4492768741404642</v>
      </c>
      <c r="BH335" s="63">
        <f t="shared" si="301"/>
        <v>40.856402380157228</v>
      </c>
      <c r="BI335" s="60" t="e">
        <f t="shared" si="306"/>
        <v>#NUM!</v>
      </c>
      <c r="BJ335" s="66" t="e">
        <f t="shared" si="302"/>
        <v>#NUM!</v>
      </c>
      <c r="BK335" s="63" t="e">
        <f t="shared" si="307"/>
        <v>#NUM!</v>
      </c>
      <c r="BL335" s="51">
        <f t="shared" si="303"/>
        <v>-8.4492768741404642</v>
      </c>
      <c r="BM335" s="63">
        <f t="shared" si="304"/>
        <v>40.856402380157228</v>
      </c>
    </row>
    <row r="336" spans="14:65" x14ac:dyDescent="0.3">
      <c r="N336" s="11">
        <v>18</v>
      </c>
      <c r="O336" s="52">
        <f t="shared" si="308"/>
        <v>15135.612484362096</v>
      </c>
      <c r="P336" s="50" t="str">
        <f t="shared" si="257"/>
        <v>23.3035714285714</v>
      </c>
      <c r="Q336" s="18" t="str">
        <f t="shared" si="258"/>
        <v>1+36.0700175612415i</v>
      </c>
      <c r="R336" s="18">
        <f t="shared" si="269"/>
        <v>36.083876827029968</v>
      </c>
      <c r="S336" s="18">
        <f t="shared" si="270"/>
        <v>1.543079569731695</v>
      </c>
      <c r="T336" s="18" t="str">
        <f t="shared" si="259"/>
        <v>1+0.168326748619127i</v>
      </c>
      <c r="U336" s="18">
        <f t="shared" si="271"/>
        <v>1.0140679929376959</v>
      </c>
      <c r="V336" s="18">
        <f t="shared" si="272"/>
        <v>0.16676345618094757</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-0.0983558754486269-0.661362181896018i</v>
      </c>
      <c r="AD336" s="66">
        <f t="shared" si="278"/>
        <v>-3.4962076699517985</v>
      </c>
      <c r="AE336" s="63">
        <f t="shared" si="279"/>
        <v>-98.458865647223718</v>
      </c>
      <c r="AF336" s="51" t="e">
        <f t="shared" si="280"/>
        <v>#NUM!</v>
      </c>
      <c r="AG336" s="51" t="str">
        <f t="shared" si="262"/>
        <v>1-50.4980245857382i</v>
      </c>
      <c r="AH336" s="51">
        <f t="shared" si="281"/>
        <v>50.507924992636745</v>
      </c>
      <c r="AI336" s="51">
        <f t="shared" si="282"/>
        <v>-1.550996159905522</v>
      </c>
      <c r="AJ336" s="51" t="str">
        <f t="shared" si="263"/>
        <v>1+0.168326748619127i</v>
      </c>
      <c r="AK336" s="51">
        <f t="shared" si="283"/>
        <v>1.0140679929376959</v>
      </c>
      <c r="AL336" s="51">
        <f t="shared" si="284"/>
        <v>0.16676345618094757</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0.28080921315455+0.236069293340323i</v>
      </c>
      <c r="BG336" s="66">
        <f t="shared" si="300"/>
        <v>-8.7101132639003449</v>
      </c>
      <c r="BH336" s="63">
        <f t="shared" si="301"/>
        <v>40.052927800541568</v>
      </c>
      <c r="BI336" s="60" t="e">
        <f t="shared" si="306"/>
        <v>#NUM!</v>
      </c>
      <c r="BJ336" s="66" t="e">
        <f t="shared" si="302"/>
        <v>#NUM!</v>
      </c>
      <c r="BK336" s="63" t="e">
        <f t="shared" si="307"/>
        <v>#NUM!</v>
      </c>
      <c r="BL336" s="51">
        <f t="shared" si="303"/>
        <v>-8.7101132639003449</v>
      </c>
      <c r="BM336" s="63">
        <f t="shared" si="304"/>
        <v>40.052927800541568</v>
      </c>
    </row>
    <row r="337" spans="14:65" x14ac:dyDescent="0.3">
      <c r="N337" s="11">
        <v>19</v>
      </c>
      <c r="O337" s="52">
        <f t="shared" si="308"/>
        <v>15488.166189124853</v>
      </c>
      <c r="P337" s="50" t="str">
        <f t="shared" si="257"/>
        <v>23.3035714285714</v>
      </c>
      <c r="Q337" s="18" t="str">
        <f t="shared" si="258"/>
        <v>1+36.9101962018622i</v>
      </c>
      <c r="R337" s="18">
        <f t="shared" si="269"/>
        <v>36.923740109311282</v>
      </c>
      <c r="S337" s="18">
        <f t="shared" si="270"/>
        <v>1.5437101680208318</v>
      </c>
      <c r="T337" s="18" t="str">
        <f t="shared" si="259"/>
        <v>1+0.172247582275357i</v>
      </c>
      <c r="U337" s="18">
        <f t="shared" si="271"/>
        <v>1.0147261845442375</v>
      </c>
      <c r="V337" s="18">
        <f t="shared" si="272"/>
        <v>0.17057379439046239</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-0.0992367760279427-0.646902717739354i</v>
      </c>
      <c r="AD337" s="66">
        <f t="shared" si="278"/>
        <v>-3.6822042804019031</v>
      </c>
      <c r="AE337" s="63">
        <f t="shared" si="279"/>
        <v>-98.721353240369538</v>
      </c>
      <c r="AF337" s="51" t="e">
        <f t="shared" si="280"/>
        <v>#NUM!</v>
      </c>
      <c r="AG337" s="51" t="str">
        <f t="shared" si="262"/>
        <v>1-51.6742746826072i</v>
      </c>
      <c r="AH337" s="51">
        <f t="shared" si="281"/>
        <v>51.683949771409097</v>
      </c>
      <c r="AI337" s="51">
        <f t="shared" si="282"/>
        <v>-1.5514467529300813</v>
      </c>
      <c r="AJ337" s="51" t="str">
        <f t="shared" si="263"/>
        <v>1+0.172247582275357i</v>
      </c>
      <c r="AK337" s="51">
        <f t="shared" si="283"/>
        <v>1.0147261845442375</v>
      </c>
      <c r="AL337" s="51">
        <f t="shared" si="284"/>
        <v>0.17057379439046239</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0.275677153782701+0.225155912531312i</v>
      </c>
      <c r="BG337" s="66">
        <f t="shared" si="300"/>
        <v>-8.9724711234671268</v>
      </c>
      <c r="BH337" s="63">
        <f t="shared" si="301"/>
        <v>39.23980707259895</v>
      </c>
      <c r="BI337" s="60" t="e">
        <f t="shared" si="306"/>
        <v>#NUM!</v>
      </c>
      <c r="BJ337" s="66" t="e">
        <f t="shared" si="302"/>
        <v>#NUM!</v>
      </c>
      <c r="BK337" s="63" t="e">
        <f t="shared" si="307"/>
        <v>#NUM!</v>
      </c>
      <c r="BL337" s="51">
        <f t="shared" si="303"/>
        <v>-8.9724711234671268</v>
      </c>
      <c r="BM337" s="63">
        <f t="shared" si="304"/>
        <v>39.23980707259895</v>
      </c>
    </row>
    <row r="338" spans="14:65" x14ac:dyDescent="0.3">
      <c r="N338" s="11">
        <v>20</v>
      </c>
      <c r="O338" s="52">
        <f t="shared" si="308"/>
        <v>15848.931924611146</v>
      </c>
      <c r="P338" s="50" t="str">
        <f t="shared" si="257"/>
        <v>23.3035714285714</v>
      </c>
      <c r="Q338" s="18" t="str">
        <f t="shared" si="258"/>
        <v>1+37.7699451170732i</v>
      </c>
      <c r="R338" s="18">
        <f t="shared" si="269"/>
        <v>37.783180836805172</v>
      </c>
      <c r="S338" s="18">
        <f t="shared" si="270"/>
        <v>1.5443264329618178</v>
      </c>
      <c r="T338" s="18" t="str">
        <f t="shared" si="259"/>
        <v>1+0.176259743879675i</v>
      </c>
      <c r="U338" s="18">
        <f t="shared" si="271"/>
        <v>1.0154149384919096</v>
      </c>
      <c r="V338" s="18">
        <f t="shared" si="272"/>
        <v>0.17446771505940331</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-0.100084634622772-0.632783546347327i</v>
      </c>
      <c r="AD338" s="66">
        <f t="shared" si="278"/>
        <v>-3.8675883835461544</v>
      </c>
      <c r="AE338" s="63">
        <f t="shared" si="279"/>
        <v>-98.987771807194179</v>
      </c>
      <c r="AF338" s="51" t="e">
        <f t="shared" si="280"/>
        <v>#NUM!</v>
      </c>
      <c r="AG338" s="51" t="str">
        <f t="shared" si="262"/>
        <v>1-52.8779231639026i</v>
      </c>
      <c r="AH338" s="51">
        <f t="shared" si="281"/>
        <v>52.88737806062602</v>
      </c>
      <c r="AI338" s="51">
        <f t="shared" si="282"/>
        <v>-1.5518870967986049</v>
      </c>
      <c r="AJ338" s="51" t="str">
        <f t="shared" si="263"/>
        <v>1+0.176259743879675i</v>
      </c>
      <c r="AK338" s="51">
        <f t="shared" si="283"/>
        <v>1.0154149384919096</v>
      </c>
      <c r="AL338" s="51">
        <f t="shared" si="284"/>
        <v>0.17446771505940331</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0.270535812191375+0.214556981392752i</v>
      </c>
      <c r="BG338" s="66">
        <f t="shared" si="300"/>
        <v>-9.2363513153960035</v>
      </c>
      <c r="BH338" s="63">
        <f t="shared" si="301"/>
        <v>38.41728774575656</v>
      </c>
      <c r="BI338" s="60" t="e">
        <f t="shared" si="306"/>
        <v>#NUM!</v>
      </c>
      <c r="BJ338" s="66" t="e">
        <f t="shared" si="302"/>
        <v>#NUM!</v>
      </c>
      <c r="BK338" s="63" t="e">
        <f t="shared" si="307"/>
        <v>#NUM!</v>
      </c>
      <c r="BL338" s="51">
        <f t="shared" si="303"/>
        <v>-9.2363513153960035</v>
      </c>
      <c r="BM338" s="63">
        <f t="shared" si="304"/>
        <v>38.41728774575656</v>
      </c>
    </row>
    <row r="339" spans="14:65" x14ac:dyDescent="0.3">
      <c r="N339" s="11">
        <v>21</v>
      </c>
      <c r="O339" s="52">
        <f t="shared" si="308"/>
        <v>16218.100973589309</v>
      </c>
      <c r="P339" s="50" t="str">
        <f t="shared" ref="P339:P402" si="309">COMPLEX(Adc,0)</f>
        <v>23.3035714285714</v>
      </c>
      <c r="Q339" s="18" t="str">
        <f t="shared" ref="Q339:Q402" si="310">IMSUM(COMPLEX(1,0),IMDIV(COMPLEX(0,2*PI()*O339),COMPLEX(wp_lf,0)))</f>
        <v>1+38.6497201571296i</v>
      </c>
      <c r="R339" s="18">
        <f t="shared" si="269"/>
        <v>38.662654697064319</v>
      </c>
      <c r="S339" s="18">
        <f t="shared" si="270"/>
        <v>1.5449286894330365</v>
      </c>
      <c r="T339" s="18" t="str">
        <f t="shared" ref="T339:T402" si="311">IMSUM(COMPLEX(1,0),IMDIV(COMPLEX(0,2*PI()*O339),COMPLEX(wz_esr,0)))</f>
        <v>1+0.180365360733272i</v>
      </c>
      <c r="U339" s="18">
        <f t="shared" si="271"/>
        <v>1.0161356520427984</v>
      </c>
      <c r="V339" s="18">
        <f t="shared" si="272"/>
        <v>0.17844681022427544</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-0.100901231311757-0.618997261918619i</v>
      </c>
      <c r="AD339" s="66">
        <f t="shared" si="278"/>
        <v>-4.0523335642222049</v>
      </c>
      <c r="AE339" s="63">
        <f t="shared" si="279"/>
        <v>-99.258216665228602</v>
      </c>
      <c r="AF339" s="51" t="e">
        <f t="shared" si="280"/>
        <v>#NUM!</v>
      </c>
      <c r="AG339" s="51" t="str">
        <f t="shared" ref="AG339:AG402" si="314">IMSUM(COMPLEX(1,0),IMDIV(COMPLEX(0,2*PI()*O339),COMPLEX(wp_lf_DCM,0)))</f>
        <v>1-54.1096082199816i</v>
      </c>
      <c r="AH339" s="51">
        <f t="shared" si="281"/>
        <v>54.118847934152299</v>
      </c>
      <c r="AI339" s="51">
        <f t="shared" si="282"/>
        <v>-1.5523174243037778</v>
      </c>
      <c r="AJ339" s="51" t="str">
        <f t="shared" ref="AJ339:AJ402" si="315">IMSUM(COMPLEX(1,0),IMDIV(COMPLEX(0,2*PI()*O339),COMPLEX(wz1_dcm,0)))</f>
        <v>1+0.180365360733272i</v>
      </c>
      <c r="AK339" s="51">
        <f t="shared" si="283"/>
        <v>1.0161356520427984</v>
      </c>
      <c r="AL339" s="51">
        <f t="shared" si="284"/>
        <v>0.17844681022427544</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0.265387385595538+0.204269753864262i</v>
      </c>
      <c r="BG339" s="66">
        <f t="shared" si="300"/>
        <v>-9.5017517718940656</v>
      </c>
      <c r="BH339" s="63">
        <f t="shared" si="301"/>
        <v>37.585625589948542</v>
      </c>
      <c r="BI339" s="60" t="e">
        <f t="shared" si="306"/>
        <v>#NUM!</v>
      </c>
      <c r="BJ339" s="66" t="e">
        <f t="shared" si="302"/>
        <v>#NUM!</v>
      </c>
      <c r="BK339" s="63" t="e">
        <f t="shared" si="307"/>
        <v>#NUM!</v>
      </c>
      <c r="BL339" s="51">
        <f t="shared" si="303"/>
        <v>-9.5017517718940656</v>
      </c>
      <c r="BM339" s="63">
        <f t="shared" si="304"/>
        <v>37.585625589948542</v>
      </c>
    </row>
    <row r="340" spans="14:65" x14ac:dyDescent="0.3">
      <c r="N340" s="11">
        <v>22</v>
      </c>
      <c r="O340" s="52">
        <f t="shared" si="308"/>
        <v>16595.869074375616</v>
      </c>
      <c r="P340" s="50" t="str">
        <f t="shared" si="309"/>
        <v>23.3035714285714</v>
      </c>
      <c r="Q340" s="18" t="str">
        <f t="shared" si="310"/>
        <v>1+39.5499877904031i</v>
      </c>
      <c r="R340" s="18">
        <f t="shared" ref="R340:R403" si="321">IMABS(Q340)</f>
        <v>39.562627999426866</v>
      </c>
      <c r="S340" s="18">
        <f t="shared" ref="S340:S403" si="322">IMARGUMENT(Q340)</f>
        <v>1.5455172550102712</v>
      </c>
      <c r="T340" s="18" t="str">
        <f t="shared" si="311"/>
        <v>1+0.184566609688548i</v>
      </c>
      <c r="U340" s="18">
        <f t="shared" ref="U340:U403" si="323">IMABS(T340)</f>
        <v>1.0168897842991269</v>
      </c>
      <c r="V340" s="18">
        <f t="shared" ref="V340:V403" si="324">IMARGUMENT(T340)</f>
        <v>0.18251268538995868</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-0.10168827942015-0.605536622901107i</v>
      </c>
      <c r="AD340" s="66">
        <f t="shared" ref="AD340:AD403" si="330">20*LOG(IMABS(AC340))</f>
        <v>-4.2364124628585857</v>
      </c>
      <c r="AE340" s="63">
        <f t="shared" ref="AE340:AE403" si="331">(180/PI())*IMARGUMENT(AC340)</f>
        <v>-99.532782431850151</v>
      </c>
      <c r="AF340" s="51" t="e">
        <f t="shared" ref="AF340:AF403" si="332">COMPLEX($B$68,0)</f>
        <v>#NUM!</v>
      </c>
      <c r="AG340" s="51" t="str">
        <f t="shared" si="314"/>
        <v>1-55.3699829065644i</v>
      </c>
      <c r="AH340" s="51">
        <f t="shared" ref="AH340:AH403" si="333">IMABS(AG340)</f>
        <v>55.379012333854732</v>
      </c>
      <c r="AI340" s="51">
        <f t="shared" ref="AI340:AI403" si="334">IMARGUMENT(AG340)</f>
        <v>-1.5527379629730635</v>
      </c>
      <c r="AJ340" s="51" t="str">
        <f t="shared" si="315"/>
        <v>1+0.184566609688548i</v>
      </c>
      <c r="AK340" s="51">
        <f t="shared" ref="AK340:AK403" si="335">IMABS(AJ340)</f>
        <v>1.0168897842991269</v>
      </c>
      <c r="AL340" s="51">
        <f t="shared" ref="AL340:AL403" si="336">IMARGUMENT(AJ340)</f>
        <v>0.18251268538995868</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0.260234314627998+0.194291403522659i</v>
      </c>
      <c r="BG340" s="66">
        <f t="shared" ref="BG340:BG403" si="352">20*LOG(IMABS(BF340))</f>
        <v>-9.7686673868478042</v>
      </c>
      <c r="BH340" s="63">
        <f t="shared" ref="BH340:BH403" si="353">(180/PI())*IMARGUMENT(BF340)</f>
        <v>36.745084050688185</v>
      </c>
      <c r="BI340" s="60" t="e">
        <f t="shared" si="306"/>
        <v>#NUM!</v>
      </c>
      <c r="BJ340" s="66" t="e">
        <f t="shared" ref="BJ340:BJ403" si="354">20*LOG(IMABS(BI340))</f>
        <v>#NUM!</v>
      </c>
      <c r="BK340" s="63" t="e">
        <f t="shared" si="307"/>
        <v>#NUM!</v>
      </c>
      <c r="BL340" s="51">
        <f t="shared" ref="BL340:BL403" si="355">IF($B$31=0,BJ340,BG340)</f>
        <v>-9.7686673868478042</v>
      </c>
      <c r="BM340" s="63">
        <f t="shared" ref="BM340:BM403" si="356">IF($B$31=0,BK340,BH340)</f>
        <v>36.745084050688185</v>
      </c>
    </row>
    <row r="341" spans="14:65" x14ac:dyDescent="0.3">
      <c r="N341" s="11">
        <v>23</v>
      </c>
      <c r="O341" s="52">
        <f t="shared" si="308"/>
        <v>16982.436524617482</v>
      </c>
      <c r="P341" s="50" t="str">
        <f t="shared" si="309"/>
        <v>23.3035714285714</v>
      </c>
      <c r="Q341" s="18" t="str">
        <f t="shared" si="310"/>
        <v>1+40.4712253507091i</v>
      </c>
      <c r="R341" s="18">
        <f t="shared" si="321"/>
        <v>40.483577922262242</v>
      </c>
      <c r="S341" s="18">
        <f t="shared" si="322"/>
        <v>1.5460924401267697</v>
      </c>
      <c r="T341" s="18" t="str">
        <f t="shared" si="311"/>
        <v>1+0.188865718303309i</v>
      </c>
      <c r="U341" s="18">
        <f t="shared" si="323"/>
        <v>1.0176788587517307</v>
      </c>
      <c r="V341" s="18">
        <f t="shared" si="324"/>
        <v>0.18666695835790273</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-0.102447429001102-0.592394548502128i</v>
      </c>
      <c r="AD341" s="66">
        <f t="shared" si="330"/>
        <v>-4.4197967527419282</v>
      </c>
      <c r="AE341" s="63">
        <f t="shared" si="331"/>
        <v>-99.811562918225633</v>
      </c>
      <c r="AF341" s="51" t="e">
        <f t="shared" si="332"/>
        <v>#NUM!</v>
      </c>
      <c r="AG341" s="51" t="str">
        <f t="shared" si="314"/>
        <v>1-56.6597154909928i</v>
      </c>
      <c r="AH341" s="51">
        <f t="shared" si="333"/>
        <v>56.668539415801519</v>
      </c>
      <c r="AI341" s="51">
        <f t="shared" si="334"/>
        <v>-1.5531489351863021</v>
      </c>
      <c r="AJ341" s="51" t="str">
        <f t="shared" si="315"/>
        <v>1+0.188865718303309i</v>
      </c>
      <c r="AK341" s="51">
        <f t="shared" si="335"/>
        <v>1.0176788587517307</v>
      </c>
      <c r="AL341" s="51">
        <f t="shared" si="336"/>
        <v>0.18666695835790273</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0.255079266048328+0.184619006682036i</v>
      </c>
      <c r="BG341" s="66">
        <f t="shared" si="352"/>
        <v>-10.037089915003332</v>
      </c>
      <c r="BH341" s="63">
        <f t="shared" si="353"/>
        <v>35.895933663680509</v>
      </c>
      <c r="BI341" s="60" t="e">
        <f t="shared" si="306"/>
        <v>#NUM!</v>
      </c>
      <c r="BJ341" s="66" t="e">
        <f t="shared" si="354"/>
        <v>#NUM!</v>
      </c>
      <c r="BK341" s="63" t="e">
        <f t="shared" si="307"/>
        <v>#NUM!</v>
      </c>
      <c r="BL341" s="51">
        <f t="shared" si="355"/>
        <v>-10.037089915003332</v>
      </c>
      <c r="BM341" s="63">
        <f t="shared" si="356"/>
        <v>35.895933663680509</v>
      </c>
    </row>
    <row r="342" spans="14:65" x14ac:dyDescent="0.3">
      <c r="N342" s="11">
        <v>24</v>
      </c>
      <c r="O342" s="52">
        <f t="shared" si="308"/>
        <v>17378.008287493791</v>
      </c>
      <c r="P342" s="50" t="str">
        <f t="shared" si="309"/>
        <v>23.3035714285714</v>
      </c>
      <c r="Q342" s="18" t="str">
        <f t="shared" si="310"/>
        <v>1+41.4139212903956i</v>
      </c>
      <c r="R342" s="18">
        <f t="shared" si="321"/>
        <v>41.425992765980659</v>
      </c>
      <c r="S342" s="18">
        <f t="shared" si="322"/>
        <v>1.5466545482300773</v>
      </c>
      <c r="T342" s="18" t="str">
        <f t="shared" si="311"/>
        <v>1+0.193264966021846i</v>
      </c>
      <c r="U342" s="18">
        <f t="shared" si="323"/>
        <v>1.0185044659162892</v>
      </c>
      <c r="V342" s="18">
        <f t="shared" si="324"/>
        <v>0.190911257943639</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-0.103180270178605-0.579564115230886i</v>
      </c>
      <c r="AD342" s="66">
        <f t="shared" si="330"/>
        <v>-4.6024571180562406</v>
      </c>
      <c r="AE342" s="63">
        <f t="shared" si="331"/>
        <v>-100.09465101662218</v>
      </c>
      <c r="AF342" s="51" t="e">
        <f t="shared" si="332"/>
        <v>#NUM!</v>
      </c>
      <c r="AG342" s="51" t="str">
        <f t="shared" si="314"/>
        <v>1-57.9794898065539i</v>
      </c>
      <c r="AH342" s="51">
        <f t="shared" si="333"/>
        <v>57.988112904528002</v>
      </c>
      <c r="AI342" s="51">
        <f t="shared" si="334"/>
        <v>-1.5535505582907825</v>
      </c>
      <c r="AJ342" s="51" t="str">
        <f t="shared" si="315"/>
        <v>1+0.193264966021846i</v>
      </c>
      <c r="AK342" s="51">
        <f t="shared" si="335"/>
        <v>1.0185044659162892</v>
      </c>
      <c r="AL342" s="51">
        <f t="shared" si="336"/>
        <v>0.190911257943639</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0.249925114312608+0.175249526717665i</v>
      </c>
      <c r="BG342" s="66">
        <f t="shared" si="352"/>
        <v>-10.30700787911476</v>
      </c>
      <c r="BH342" s="63">
        <f t="shared" si="353"/>
        <v>35.038451432507095</v>
      </c>
      <c r="BI342" s="60" t="e">
        <f t="shared" si="306"/>
        <v>#NUM!</v>
      </c>
      <c r="BJ342" s="66" t="e">
        <f t="shared" si="354"/>
        <v>#NUM!</v>
      </c>
      <c r="BK342" s="63" t="e">
        <f t="shared" si="307"/>
        <v>#NUM!</v>
      </c>
      <c r="BL342" s="51">
        <f t="shared" si="355"/>
        <v>-10.30700787911476</v>
      </c>
      <c r="BM342" s="63">
        <f t="shared" si="356"/>
        <v>35.038451432507095</v>
      </c>
    </row>
    <row r="343" spans="14:65" x14ac:dyDescent="0.3">
      <c r="N343" s="11">
        <v>25</v>
      </c>
      <c r="O343" s="52">
        <f t="shared" si="308"/>
        <v>17782.794100389234</v>
      </c>
      <c r="P343" s="50" t="str">
        <f t="shared" si="309"/>
        <v>23.3035714285714</v>
      </c>
      <c r="Q343" s="18" t="str">
        <f t="shared" si="310"/>
        <v>1+42.3785754393283i</v>
      </c>
      <c r="R343" s="18">
        <f t="shared" si="321"/>
        <v>42.390372211940296</v>
      </c>
      <c r="S343" s="18">
        <f t="shared" si="322"/>
        <v>1.5472038759356828</v>
      </c>
      <c r="T343" s="18" t="str">
        <f t="shared" si="311"/>
        <v>1+0.197766685383532i</v>
      </c>
      <c r="U343" s="18">
        <f t="shared" si="323"/>
        <v>1.0193682660587335</v>
      </c>
      <c r="V343" s="18">
        <f t="shared" si="324"/>
        <v>0.19524722257754606</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-0.103888336357948-0.567038553472868i</v>
      </c>
      <c r="AD343" s="66">
        <f t="shared" si="330"/>
        <v>-4.784363232846526</v>
      </c>
      <c r="AE343" s="63">
        <f t="shared" si="331"/>
        <v>-100.38213858103688</v>
      </c>
      <c r="AF343" s="51" t="e">
        <f t="shared" si="332"/>
        <v>#NUM!</v>
      </c>
      <c r="AG343" s="51" t="str">
        <f t="shared" si="314"/>
        <v>1-59.3300056150598i</v>
      </c>
      <c r="AH343" s="51">
        <f t="shared" si="333"/>
        <v>59.338432455559747</v>
      </c>
      <c r="AI343" s="51">
        <f t="shared" si="334"/>
        <v>-1.5539430447138356</v>
      </c>
      <c r="AJ343" s="51" t="str">
        <f t="shared" si="315"/>
        <v>1+0.197766685383532i</v>
      </c>
      <c r="AK343" s="51">
        <f t="shared" si="335"/>
        <v>1.0193682660587335</v>
      </c>
      <c r="AL343" s="51">
        <f t="shared" si="336"/>
        <v>0.19524722257754606</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0.244774922103415+0.166179799748256i</v>
      </c>
      <c r="BG343" s="66">
        <f t="shared" si="352"/>
        <v>-10.578406485843878</v>
      </c>
      <c r="BH343" s="63">
        <f t="shared" si="353"/>
        <v>34.172920173363472</v>
      </c>
      <c r="BI343" s="60" t="e">
        <f t="shared" si="306"/>
        <v>#NUM!</v>
      </c>
      <c r="BJ343" s="66" t="e">
        <f t="shared" si="354"/>
        <v>#NUM!</v>
      </c>
      <c r="BK343" s="63" t="e">
        <f t="shared" si="307"/>
        <v>#NUM!</v>
      </c>
      <c r="BL343" s="51">
        <f t="shared" si="355"/>
        <v>-10.578406485843878</v>
      </c>
      <c r="BM343" s="63">
        <f t="shared" si="356"/>
        <v>34.172920173363472</v>
      </c>
    </row>
    <row r="344" spans="14:65" x14ac:dyDescent="0.3">
      <c r="N344" s="11">
        <v>26</v>
      </c>
      <c r="O344" s="52">
        <f t="shared" si="308"/>
        <v>18197.008586099837</v>
      </c>
      <c r="P344" s="50" t="str">
        <f t="shared" si="309"/>
        <v>23.3035714285714</v>
      </c>
      <c r="Q344" s="18" t="str">
        <f t="shared" si="310"/>
        <v>1+43.365699269906i</v>
      </c>
      <c r="R344" s="18">
        <f t="shared" si="321"/>
        <v>43.377227587386521</v>
      </c>
      <c r="S344" s="18">
        <f t="shared" si="322"/>
        <v>1.5477407131775223</v>
      </c>
      <c r="T344" s="18" t="str">
        <f t="shared" si="311"/>
        <v>1+0.202373263259561i</v>
      </c>
      <c r="U344" s="18">
        <f t="shared" si="323"/>
        <v>1.0202719920111125</v>
      </c>
      <c r="V344" s="18">
        <f t="shared" si="324"/>
        <v>0.19967649878263841</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-0.104573107309289-0.55481124409611i</v>
      </c>
      <c r="AD344" s="66">
        <f t="shared" si="330"/>
        <v>-4.9654837410687556</v>
      </c>
      <c r="AE344" s="63">
        <f t="shared" si="331"/>
        <v>-100.67411630113202</v>
      </c>
      <c r="AF344" s="51" t="e">
        <f t="shared" si="332"/>
        <v>#NUM!</v>
      </c>
      <c r="AG344" s="51" t="str">
        <f t="shared" si="314"/>
        <v>1-60.7119789778685i</v>
      </c>
      <c r="AH344" s="51">
        <f t="shared" si="333"/>
        <v>60.720214026377953</v>
      </c>
      <c r="AI344" s="51">
        <f t="shared" si="334"/>
        <v>-1.554326602072994</v>
      </c>
      <c r="AJ344" s="51" t="str">
        <f t="shared" si="315"/>
        <v>1+0.202373263259561i</v>
      </c>
      <c r="AK344" s="51">
        <f t="shared" si="335"/>
        <v>1.0202719920111125</v>
      </c>
      <c r="AL344" s="51">
        <f t="shared" si="336"/>
        <v>0.19967649878263841</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0.239631919936729+0.157406521799877i</v>
      </c>
      <c r="BG344" s="66">
        <f t="shared" si="352"/>
        <v>-10.851267551143934</v>
      </c>
      <c r="BH344" s="63">
        <f t="shared" si="353"/>
        <v>33.299627831244727</v>
      </c>
      <c r="BI344" s="60" t="e">
        <f t="shared" si="306"/>
        <v>#NUM!</v>
      </c>
      <c r="BJ344" s="66" t="e">
        <f t="shared" si="354"/>
        <v>#NUM!</v>
      </c>
      <c r="BK344" s="63" t="e">
        <f t="shared" si="307"/>
        <v>#NUM!</v>
      </c>
      <c r="BL344" s="51">
        <f t="shared" si="355"/>
        <v>-10.851267551143934</v>
      </c>
      <c r="BM344" s="63">
        <f t="shared" si="356"/>
        <v>33.299627831244727</v>
      </c>
    </row>
    <row r="345" spans="14:65" x14ac:dyDescent="0.3">
      <c r="N345" s="11">
        <v>27</v>
      </c>
      <c r="O345" s="52">
        <f t="shared" si="308"/>
        <v>18620.871366628675</v>
      </c>
      <c r="P345" s="50" t="str">
        <f t="shared" si="309"/>
        <v>23.3035714285714</v>
      </c>
      <c r="Q345" s="18" t="str">
        <f t="shared" si="310"/>
        <v>1+44.3758161682494i</v>
      </c>
      <c r="R345" s="18">
        <f t="shared" si="321"/>
        <v>44.387082136566093</v>
      </c>
      <c r="S345" s="18">
        <f t="shared" si="322"/>
        <v>1.5482653433553906</v>
      </c>
      <c r="T345" s="18" t="str">
        <f t="shared" si="311"/>
        <v>1+0.207087142118497i</v>
      </c>
      <c r="U345" s="18">
        <f t="shared" si="323"/>
        <v>1.02121745207904</v>
      </c>
      <c r="V345" s="18">
        <f t="shared" si="324"/>
        <v>0.20420073952305418</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-0.105236012129614-0.542875715088787i</v>
      </c>
      <c r="AD345" s="66">
        <f t="shared" si="330"/>
        <v>-5.1457862379034527</v>
      </c>
      <c r="AE345" s="63">
        <f t="shared" si="331"/>
        <v>-100.970673569502</v>
      </c>
      <c r="AF345" s="51" t="e">
        <f t="shared" si="332"/>
        <v>#NUM!</v>
      </c>
      <c r="AG345" s="51" t="str">
        <f t="shared" si="314"/>
        <v>1-62.1261426355493i</v>
      </c>
      <c r="AH345" s="51">
        <f t="shared" si="333"/>
        <v>62.134190256030671</v>
      </c>
      <c r="AI345" s="51">
        <f t="shared" si="334"/>
        <v>-1.5547014332837676</v>
      </c>
      <c r="AJ345" s="51" t="str">
        <f t="shared" si="315"/>
        <v>1+0.207087142118497i</v>
      </c>
      <c r="AK345" s="51">
        <f t="shared" si="335"/>
        <v>1.02121745207904</v>
      </c>
      <c r="AL345" s="51">
        <f t="shared" si="336"/>
        <v>0.20420073952305418</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0.234499484977994+0.148926237561106i</v>
      </c>
      <c r="BG345" s="66">
        <f t="shared" si="352"/>
        <v>-11.125569435810711</v>
      </c>
      <c r="BH345" s="63">
        <f t="shared" si="353"/>
        <v>32.418866772335932</v>
      </c>
      <c r="BI345" s="60" t="e">
        <f t="shared" si="306"/>
        <v>#NUM!</v>
      </c>
      <c r="BJ345" s="66" t="e">
        <f t="shared" si="354"/>
        <v>#NUM!</v>
      </c>
      <c r="BK345" s="63" t="e">
        <f t="shared" si="307"/>
        <v>#NUM!</v>
      </c>
      <c r="BL345" s="51">
        <f t="shared" si="355"/>
        <v>-11.125569435810711</v>
      </c>
      <c r="BM345" s="63">
        <f t="shared" si="356"/>
        <v>32.418866772335932</v>
      </c>
    </row>
    <row r="346" spans="14:65" x14ac:dyDescent="0.3">
      <c r="N346" s="11">
        <v>28</v>
      </c>
      <c r="O346" s="52">
        <f t="shared" si="308"/>
        <v>19054.607179632505</v>
      </c>
      <c r="P346" s="50" t="str">
        <f t="shared" si="309"/>
        <v>23.3035714285714</v>
      </c>
      <c r="Q346" s="18" t="str">
        <f t="shared" si="310"/>
        <v>1+45.409461711709i</v>
      </c>
      <c r="R346" s="18">
        <f t="shared" si="321"/>
        <v>45.420471298162077</v>
      </c>
      <c r="S346" s="18">
        <f t="shared" si="322"/>
        <v>1.5487780434793101</v>
      </c>
      <c r="T346" s="18" t="str">
        <f t="shared" si="311"/>
        <v>1+0.211910821321309i</v>
      </c>
      <c r="U346" s="18">
        <f t="shared" si="323"/>
        <v>1.0222065330416705</v>
      </c>
      <c r="V346" s="18">
        <f t="shared" si="324"/>
        <v>0.20882160241681227</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-0.105878432088057-0.531225638227604i</v>
      </c>
      <c r="AD346" s="66">
        <f t="shared" si="330"/>
        <v>-5.3252372525206439</v>
      </c>
      <c r="AE346" s="63">
        <f t="shared" si="331"/>
        <v>-101.27189834233836</v>
      </c>
      <c r="AF346" s="51" t="e">
        <f t="shared" si="332"/>
        <v>#NUM!</v>
      </c>
      <c r="AG346" s="51" t="str">
        <f t="shared" si="314"/>
        <v>1-63.5732463963927i</v>
      </c>
      <c r="AH346" s="51">
        <f t="shared" si="333"/>
        <v>63.581110853589657</v>
      </c>
      <c r="AI346" s="51">
        <f t="shared" si="334"/>
        <v>-1.5550677366650787</v>
      </c>
      <c r="AJ346" s="51" t="str">
        <f t="shared" si="315"/>
        <v>1+0.211910821321309i</v>
      </c>
      <c r="AK346" s="51">
        <f t="shared" si="335"/>
        <v>1.0222065330416705</v>
      </c>
      <c r="AL346" s="51">
        <f t="shared" si="336"/>
        <v>0.20882160241681227</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0.229381119213549+0.140735330823354i</v>
      </c>
      <c r="BG346" s="66">
        <f t="shared" si="352"/>
        <v>-11.401286991819441</v>
      </c>
      <c r="BH346" s="63">
        <f t="shared" si="353"/>
        <v>31.530933057674503</v>
      </c>
      <c r="BI346" s="60" t="e">
        <f t="shared" si="306"/>
        <v>#NUM!</v>
      </c>
      <c r="BJ346" s="66" t="e">
        <f t="shared" si="354"/>
        <v>#NUM!</v>
      </c>
      <c r="BK346" s="63" t="e">
        <f t="shared" si="307"/>
        <v>#NUM!</v>
      </c>
      <c r="BL346" s="51">
        <f t="shared" si="355"/>
        <v>-11.401286991819441</v>
      </c>
      <c r="BM346" s="63">
        <f t="shared" si="356"/>
        <v>31.530933057674503</v>
      </c>
    </row>
    <row r="347" spans="14:65" x14ac:dyDescent="0.3">
      <c r="N347" s="11">
        <v>29</v>
      </c>
      <c r="O347" s="52">
        <f t="shared" si="308"/>
        <v>19498.445997580486</v>
      </c>
      <c r="P347" s="50" t="str">
        <f t="shared" si="309"/>
        <v>23.3035714285714</v>
      </c>
      <c r="Q347" s="18" t="str">
        <f t="shared" si="310"/>
        <v>1+46.4671839528327i</v>
      </c>
      <c r="R347" s="18">
        <f t="shared" si="321"/>
        <v>46.477942989189962</v>
      </c>
      <c r="S347" s="18">
        <f t="shared" si="322"/>
        <v>1.5492790843109017</v>
      </c>
      <c r="T347" s="18" t="str">
        <f t="shared" si="311"/>
        <v>1+0.216846858446553i</v>
      </c>
      <c r="U347" s="18">
        <f t="shared" si="323"/>
        <v>1.0232412032449334</v>
      </c>
      <c r="V347" s="18">
        <f t="shared" si="324"/>
        <v>0.21354074780630705</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-0.106501703359282-0.519854825776238i</v>
      </c>
      <c r="AD347" s="66">
        <f t="shared" si="330"/>
        <v>-5.5038022324976685</v>
      </c>
      <c r="AE347" s="63">
        <f t="shared" si="331"/>
        <v>-101.57787699361114</v>
      </c>
      <c r="AF347" s="51" t="e">
        <f t="shared" si="332"/>
        <v>#NUM!</v>
      </c>
      <c r="AG347" s="51" t="str">
        <f t="shared" si="314"/>
        <v>1-65.0540575339659i</v>
      </c>
      <c r="AH347" s="51">
        <f t="shared" si="333"/>
        <v>65.061742995654114</v>
      </c>
      <c r="AI347" s="51">
        <f t="shared" si="334"/>
        <v>-1.555425706042403</v>
      </c>
      <c r="AJ347" s="51" t="str">
        <f t="shared" si="315"/>
        <v>1+0.216846858446553i</v>
      </c>
      <c r="AK347" s="51">
        <f t="shared" si="335"/>
        <v>1.0232412032449334</v>
      </c>
      <c r="AL347" s="51">
        <f t="shared" si="336"/>
        <v>0.21354074780630705</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0.224280427135297+0.132830016682701i</v>
      </c>
      <c r="BG347" s="66">
        <f t="shared" si="352"/>
        <v>-11.678391520003453</v>
      </c>
      <c r="BH347" s="63">
        <f t="shared" si="353"/>
        <v>30.63612570340457</v>
      </c>
      <c r="BI347" s="60" t="e">
        <f t="shared" si="306"/>
        <v>#NUM!</v>
      </c>
      <c r="BJ347" s="66" t="e">
        <f t="shared" si="354"/>
        <v>#NUM!</v>
      </c>
      <c r="BK347" s="63" t="e">
        <f t="shared" si="307"/>
        <v>#NUM!</v>
      </c>
      <c r="BL347" s="51">
        <f t="shared" si="355"/>
        <v>-11.678391520003453</v>
      </c>
      <c r="BM347" s="63">
        <f t="shared" si="356"/>
        <v>30.63612570340457</v>
      </c>
    </row>
    <row r="348" spans="14:65" x14ac:dyDescent="0.3">
      <c r="N348" s="11">
        <v>30</v>
      </c>
      <c r="O348" s="52">
        <f t="shared" si="308"/>
        <v>19952.623149688792</v>
      </c>
      <c r="P348" s="50" t="str">
        <f t="shared" si="309"/>
        <v>23.3035714285714</v>
      </c>
      <c r="Q348" s="18" t="str">
        <f t="shared" si="310"/>
        <v>1+47.5495437099545i</v>
      </c>
      <c r="R348" s="18">
        <f t="shared" si="321"/>
        <v>47.560057895516415</v>
      </c>
      <c r="S348" s="18">
        <f t="shared" si="322"/>
        <v>1.5497687305018122</v>
      </c>
      <c r="T348" s="18" t="str">
        <f t="shared" si="311"/>
        <v>1+0.221897870646454i</v>
      </c>
      <c r="U348" s="18">
        <f t="shared" si="323"/>
        <v>1.0243235157885571</v>
      </c>
      <c r="V348" s="18">
        <f t="shared" si="324"/>
        <v>0.21835983668004272</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-0.107107119649282-0.508757227212928i</v>
      </c>
      <c r="AD348" s="66">
        <f t="shared" si="330"/>
        <v>-5.6814455301049902</v>
      </c>
      <c r="AE348" s="63">
        <f t="shared" si="331"/>
        <v>-101.88869416293288</v>
      </c>
      <c r="AF348" s="51" t="e">
        <f t="shared" si="332"/>
        <v>#NUM!</v>
      </c>
      <c r="AG348" s="51" t="str">
        <f t="shared" si="314"/>
        <v>1-66.5693611939365i</v>
      </c>
      <c r="AH348" s="51">
        <f t="shared" si="333"/>
        <v>66.576871733123497</v>
      </c>
      <c r="AI348" s="51">
        <f t="shared" si="334"/>
        <v>-1.5557755308486652</v>
      </c>
      <c r="AJ348" s="51" t="str">
        <f t="shared" si="315"/>
        <v>1+0.221897870646454i</v>
      </c>
      <c r="AK348" s="51">
        <f t="shared" si="335"/>
        <v>1.0243235157885571</v>
      </c>
      <c r="AL348" s="51">
        <f t="shared" si="336"/>
        <v>0.21835983668004272</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0.219201093106035+0.125206335560592i</v>
      </c>
      <c r="BG348" s="66">
        <f t="shared" si="352"/>
        <v>-11.956850739553959</v>
      </c>
      <c r="BH348" s="63">
        <f t="shared" si="353"/>
        <v>29.734745933118472</v>
      </c>
      <c r="BI348" s="60" t="e">
        <f t="shared" si="306"/>
        <v>#NUM!</v>
      </c>
      <c r="BJ348" s="66" t="e">
        <f t="shared" si="354"/>
        <v>#NUM!</v>
      </c>
      <c r="BK348" s="63" t="e">
        <f t="shared" si="307"/>
        <v>#NUM!</v>
      </c>
      <c r="BL348" s="51">
        <f t="shared" si="355"/>
        <v>-11.956850739553959</v>
      </c>
      <c r="BM348" s="63">
        <f t="shared" si="356"/>
        <v>29.734745933118472</v>
      </c>
    </row>
    <row r="349" spans="14:65" x14ac:dyDescent="0.3">
      <c r="N349" s="11">
        <v>31</v>
      </c>
      <c r="O349" s="52">
        <f t="shared" si="308"/>
        <v>20417.379446695286</v>
      </c>
      <c r="P349" s="50" t="str">
        <f t="shared" si="309"/>
        <v>23.3035714285714</v>
      </c>
      <c r="Q349" s="18" t="str">
        <f t="shared" si="310"/>
        <v>1+48.6571148645437i</v>
      </c>
      <c r="R349" s="18">
        <f t="shared" si="321"/>
        <v>48.667389769140073</v>
      </c>
      <c r="S349" s="18">
        <f t="shared" si="322"/>
        <v>1.5502472407292396</v>
      </c>
      <c r="T349" s="18" t="str">
        <f t="shared" si="311"/>
        <v>1+0.227066536034537i</v>
      </c>
      <c r="U349" s="18">
        <f t="shared" si="323"/>
        <v>1.0254556118071243</v>
      </c>
      <c r="V349" s="18">
        <f t="shared" si="324"/>
        <v>0.2232805284389881</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-0.107695934717713-0.497926925986323i</v>
      </c>
      <c r="AD349" s="66">
        <f t="shared" si="330"/>
        <v>-5.8581303906855613</v>
      </c>
      <c r="AE349" s="63">
        <f t="shared" si="331"/>
        <v>-102.20443259733234</v>
      </c>
      <c r="AF349" s="51" t="e">
        <f t="shared" si="332"/>
        <v>#NUM!</v>
      </c>
      <c r="AG349" s="51" t="str">
        <f t="shared" si="314"/>
        <v>1-68.1199608103613i</v>
      </c>
      <c r="AH349" s="51">
        <f t="shared" si="333"/>
        <v>68.127300407436962</v>
      </c>
      <c r="AI349" s="51">
        <f t="shared" si="334"/>
        <v>-1.5561173962229258</v>
      </c>
      <c r="AJ349" s="51" t="str">
        <f t="shared" si="315"/>
        <v>1+0.227066536034537i</v>
      </c>
      <c r="AK349" s="51">
        <f t="shared" si="335"/>
        <v>1.0254556118071243</v>
      </c>
      <c r="AL349" s="51">
        <f t="shared" si="336"/>
        <v>0.2232805284389881</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0.214146858579584+0.117860149080519i</v>
      </c>
      <c r="BG349" s="66">
        <f t="shared" si="352"/>
        <v>-12.236628769748009</v>
      </c>
      <c r="BH349" s="63">
        <f t="shared" si="353"/>
        <v>28.827096427904106</v>
      </c>
      <c r="BI349" s="60" t="e">
        <f t="shared" si="306"/>
        <v>#NUM!</v>
      </c>
      <c r="BJ349" s="66" t="e">
        <f t="shared" si="354"/>
        <v>#NUM!</v>
      </c>
      <c r="BK349" s="63" t="e">
        <f t="shared" si="307"/>
        <v>#NUM!</v>
      </c>
      <c r="BL349" s="51">
        <f t="shared" si="355"/>
        <v>-12.236628769748009</v>
      </c>
      <c r="BM349" s="63">
        <f t="shared" si="356"/>
        <v>28.827096427904106</v>
      </c>
    </row>
    <row r="350" spans="14:65" x14ac:dyDescent="0.3">
      <c r="N350" s="11">
        <v>32</v>
      </c>
      <c r="O350" s="52">
        <f t="shared" si="308"/>
        <v>20892.961308540423</v>
      </c>
      <c r="P350" s="50" t="str">
        <f t="shared" si="309"/>
        <v>23.3035714285714</v>
      </c>
      <c r="Q350" s="18" t="str">
        <f t="shared" si="310"/>
        <v>1+49.7904846654876i</v>
      </c>
      <c r="R350" s="18">
        <f t="shared" si="321"/>
        <v>49.800525732407237</v>
      </c>
      <c r="S350" s="18">
        <f t="shared" si="322"/>
        <v>1.5507148678286145</v>
      </c>
      <c r="T350" s="18" t="str">
        <f t="shared" si="311"/>
        <v>1+0.232355595105609i</v>
      </c>
      <c r="U350" s="18">
        <f t="shared" si="323"/>
        <v>1.0266397238451674</v>
      </c>
      <c r="V350" s="18">
        <f t="shared" si="324"/>
        <v>0.22830447850110225</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-0.10826936480054-0.48735813629833i</v>
      </c>
      <c r="AD350" s="66">
        <f t="shared" si="330"/>
        <v>-6.0338189433704041</v>
      </c>
      <c r="AE350" s="63">
        <f t="shared" si="331"/>
        <v>-102.5251729872282</v>
      </c>
      <c r="AF350" s="51" t="e">
        <f t="shared" si="332"/>
        <v>#NUM!</v>
      </c>
      <c r="AG350" s="51" t="str">
        <f t="shared" si="314"/>
        <v>1-69.7066785316828i</v>
      </c>
      <c r="AH350" s="51">
        <f t="shared" si="333"/>
        <v>69.713851076521138</v>
      </c>
      <c r="AI350" s="51">
        <f t="shared" si="334"/>
        <v>-1.5564514831069125</v>
      </c>
      <c r="AJ350" s="51" t="str">
        <f t="shared" si="315"/>
        <v>1+0.232355595105609i</v>
      </c>
      <c r="AK350" s="51">
        <f t="shared" si="335"/>
        <v>1.0266397238451674</v>
      </c>
      <c r="AL350" s="51">
        <f t="shared" si="336"/>
        <v>0.22830447850110225</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0.209121499354068+0.110787137816806i</v>
      </c>
      <c r="BG350" s="66">
        <f t="shared" si="352"/>
        <v>-12.517686124230732</v>
      </c>
      <c r="BH350" s="63">
        <f t="shared" si="353"/>
        <v>27.913480579738298</v>
      </c>
      <c r="BI350" s="60" t="e">
        <f t="shared" si="306"/>
        <v>#NUM!</v>
      </c>
      <c r="BJ350" s="66" t="e">
        <f t="shared" si="354"/>
        <v>#NUM!</v>
      </c>
      <c r="BK350" s="63" t="e">
        <f t="shared" si="307"/>
        <v>#NUM!</v>
      </c>
      <c r="BL350" s="51">
        <f t="shared" si="355"/>
        <v>-12.517686124230732</v>
      </c>
      <c r="BM350" s="63">
        <f t="shared" si="356"/>
        <v>27.913480579738298</v>
      </c>
    </row>
    <row r="351" spans="14:65" x14ac:dyDescent="0.3">
      <c r="N351" s="11">
        <v>33</v>
      </c>
      <c r="O351" s="52">
        <f t="shared" si="308"/>
        <v>21379.620895022348</v>
      </c>
      <c r="P351" s="50" t="str">
        <f t="shared" si="309"/>
        <v>23.3035714285714</v>
      </c>
      <c r="Q351" s="18" t="str">
        <f t="shared" si="310"/>
        <v>1+50.9502540404556i</v>
      </c>
      <c r="R351" s="18">
        <f t="shared" si="321"/>
        <v>50.960066589310522</v>
      </c>
      <c r="S351" s="18">
        <f t="shared" si="322"/>
        <v>1.5511718589234782</v>
      </c>
      <c r="T351" s="18" t="str">
        <f t="shared" si="311"/>
        <v>1+0.237767852188793i</v>
      </c>
      <c r="U351" s="18">
        <f t="shared" si="323"/>
        <v>1.0278781793259704</v>
      </c>
      <c r="V351" s="18">
        <f t="shared" si="324"/>
        <v>0.23343333573755037</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-0.10882859093651-0.477045199912873i</v>
      </c>
      <c r="AD351" s="66">
        <f t="shared" si="330"/>
        <v>-6.2084721943812013</v>
      </c>
      <c r="AE351" s="63">
        <f t="shared" si="331"/>
        <v>-102.85099379695902</v>
      </c>
      <c r="AF351" s="51" t="e">
        <f t="shared" si="332"/>
        <v>#NUM!</v>
      </c>
      <c r="AG351" s="51" t="str">
        <f t="shared" si="314"/>
        <v>1-71.3303556566381i</v>
      </c>
      <c r="AH351" s="51">
        <f t="shared" si="333"/>
        <v>71.337364950651789</v>
      </c>
      <c r="AI351" s="51">
        <f t="shared" si="334"/>
        <v>-1.5567779683394318</v>
      </c>
      <c r="AJ351" s="51" t="str">
        <f t="shared" si="315"/>
        <v>1+0.237767852188793i</v>
      </c>
      <c r="AK351" s="51">
        <f t="shared" si="335"/>
        <v>1.0278781793259704</v>
      </c>
      <c r="AL351" s="51">
        <f t="shared" si="336"/>
        <v>0.23343333573755037</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0.20412880303794+0.103982800910302i</v>
      </c>
      <c r="BG351" s="66">
        <f t="shared" si="352"/>
        <v>-12.799979718098466</v>
      </c>
      <c r="BH351" s="63">
        <f t="shared" si="353"/>
        <v>26.994201753842145</v>
      </c>
      <c r="BI351" s="60" t="e">
        <f t="shared" si="306"/>
        <v>#NUM!</v>
      </c>
      <c r="BJ351" s="66" t="e">
        <f t="shared" si="354"/>
        <v>#NUM!</v>
      </c>
      <c r="BK351" s="63" t="e">
        <f t="shared" si="307"/>
        <v>#NUM!</v>
      </c>
      <c r="BL351" s="51">
        <f t="shared" si="355"/>
        <v>-12.799979718098466</v>
      </c>
      <c r="BM351" s="63">
        <f t="shared" si="356"/>
        <v>26.994201753842145</v>
      </c>
    </row>
    <row r="352" spans="14:65" x14ac:dyDescent="0.3">
      <c r="N352" s="11">
        <v>34</v>
      </c>
      <c r="O352" s="52">
        <f t="shared" si="308"/>
        <v>21877.61623949555</v>
      </c>
      <c r="P352" s="50" t="str">
        <f t="shared" si="309"/>
        <v>23.3035714285714</v>
      </c>
      <c r="Q352" s="18" t="str">
        <f t="shared" si="310"/>
        <v>1+52.1370379145225i</v>
      </c>
      <c r="R352" s="18">
        <f t="shared" si="321"/>
        <v>52.146627144047926</v>
      </c>
      <c r="S352" s="18">
        <f t="shared" si="322"/>
        <v>1.5516184555526131</v>
      </c>
      <c r="T352" s="18" t="str">
        <f t="shared" si="311"/>
        <v>1+0.243306176934438i</v>
      </c>
      <c r="U352" s="18">
        <f t="shared" si="323"/>
        <v>1.0291734041134428</v>
      </c>
      <c r="V352" s="18">
        <f t="shared" si="324"/>
        <v>0.23866873973436803</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-0.109374761200656-0.466982582989157i</v>
      </c>
      <c r="AD352" s="66">
        <f t="shared" si="330"/>
        <v>-6.3820500231864461</v>
      </c>
      <c r="AE352" s="63">
        <f t="shared" si="331"/>
        <v>-103.18197109030157</v>
      </c>
      <c r="AF352" s="51" t="e">
        <f t="shared" si="332"/>
        <v>#NUM!</v>
      </c>
      <c r="AG352" s="51" t="str">
        <f t="shared" si="314"/>
        <v>1-72.9918530803317i</v>
      </c>
      <c r="AH352" s="51">
        <f t="shared" si="333"/>
        <v>72.998702838480142</v>
      </c>
      <c r="AI352" s="51">
        <f t="shared" si="334"/>
        <v>-1.5570970247487084</v>
      </c>
      <c r="AJ352" s="51" t="str">
        <f t="shared" si="315"/>
        <v>1+0.243306176934438i</v>
      </c>
      <c r="AK352" s="51">
        <f t="shared" si="335"/>
        <v>1.0291734041134428</v>
      </c>
      <c r="AL352" s="51">
        <f t="shared" si="336"/>
        <v>0.23866873973436803</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0.199172546906831+0.0974424575244085i</v>
      </c>
      <c r="BG352" s="66">
        <f t="shared" si="352"/>
        <v>-13.083462887949185</v>
      </c>
      <c r="BH352" s="63">
        <f t="shared" si="353"/>
        <v>26.069562565484002</v>
      </c>
      <c r="BI352" s="60" t="e">
        <f t="shared" si="306"/>
        <v>#NUM!</v>
      </c>
      <c r="BJ352" s="66" t="e">
        <f t="shared" si="354"/>
        <v>#NUM!</v>
      </c>
      <c r="BK352" s="63" t="e">
        <f t="shared" si="307"/>
        <v>#NUM!</v>
      </c>
      <c r="BL352" s="51">
        <f t="shared" si="355"/>
        <v>-13.083462887949185</v>
      </c>
      <c r="BM352" s="63">
        <f t="shared" si="356"/>
        <v>26.069562565484002</v>
      </c>
    </row>
    <row r="353" spans="14:65" x14ac:dyDescent="0.3">
      <c r="N353" s="11">
        <v>35</v>
      </c>
      <c r="O353" s="52">
        <f t="shared" si="308"/>
        <v>22387.211385683382</v>
      </c>
      <c r="P353" s="50" t="str">
        <f t="shared" si="309"/>
        <v>23.3035714285714</v>
      </c>
      <c r="Q353" s="18" t="str">
        <f t="shared" si="310"/>
        <v>1+53.3514655362066i</v>
      </c>
      <c r="R353" s="18">
        <f t="shared" si="321"/>
        <v>53.360836526998341</v>
      </c>
      <c r="S353" s="18">
        <f t="shared" si="322"/>
        <v>1.5520548937944703</v>
      </c>
      <c r="T353" s="18" t="str">
        <f t="shared" si="311"/>
        <v>1+0.248973505835631i</v>
      </c>
      <c r="U353" s="18">
        <f t="shared" si="323"/>
        <v>1.0305279261660427</v>
      </c>
      <c r="V353" s="18">
        <f t="shared" si="324"/>
        <v>0.24401231787341615</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-0.109908992847745-0.457164872938101i</v>
      </c>
      <c r="AD353" s="66">
        <f t="shared" si="330"/>
        <v>-6.5545111817868769</v>
      </c>
      <c r="AE353" s="63">
        <f t="shared" si="331"/>
        <v>-103.51817835148515</v>
      </c>
      <c r="AF353" s="51" t="e">
        <f t="shared" si="332"/>
        <v>#NUM!</v>
      </c>
      <c r="AG353" s="51" t="str">
        <f t="shared" si="314"/>
        <v>1-74.6920517506894i</v>
      </c>
      <c r="AH353" s="51">
        <f t="shared" si="333"/>
        <v>74.698745603441452</v>
      </c>
      <c r="AI353" s="51">
        <f t="shared" si="334"/>
        <v>-1.5574088212426926</v>
      </c>
      <c r="AJ353" s="51" t="str">
        <f t="shared" si="315"/>
        <v>1+0.248973505835631i</v>
      </c>
      <c r="AK353" s="51">
        <f t="shared" si="335"/>
        <v>1.0305279261660427</v>
      </c>
      <c r="AL353" s="51">
        <f t="shared" si="336"/>
        <v>0.24401231787341615</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0.194256476324964+0.0911612500940625i</v>
      </c>
      <c r="BG353" s="66">
        <f t="shared" si="352"/>
        <v>-13.368085424985907</v>
      </c>
      <c r="BH353" s="63">
        <f t="shared" si="353"/>
        <v>25.139864176535834</v>
      </c>
      <c r="BI353" s="60" t="e">
        <f t="shared" si="306"/>
        <v>#NUM!</v>
      </c>
      <c r="BJ353" s="66" t="e">
        <f t="shared" si="354"/>
        <v>#NUM!</v>
      </c>
      <c r="BK353" s="63" t="e">
        <f t="shared" si="307"/>
        <v>#NUM!</v>
      </c>
      <c r="BL353" s="51">
        <f t="shared" si="355"/>
        <v>-13.368085424985907</v>
      </c>
      <c r="BM353" s="63">
        <f t="shared" si="356"/>
        <v>25.139864176535834</v>
      </c>
    </row>
    <row r="354" spans="14:65" x14ac:dyDescent="0.3">
      <c r="N354" s="11">
        <v>36</v>
      </c>
      <c r="O354" s="52">
        <f t="shared" si="308"/>
        <v>22908.676527677751</v>
      </c>
      <c r="P354" s="50" t="str">
        <f t="shared" si="309"/>
        <v>23.3035714285714</v>
      </c>
      <c r="Q354" s="18" t="str">
        <f t="shared" si="310"/>
        <v>1+54.5941808111087i</v>
      </c>
      <c r="R354" s="18">
        <f t="shared" si="321"/>
        <v>54.603338528299062</v>
      </c>
      <c r="S354" s="18">
        <f t="shared" si="322"/>
        <v>1.552481404388945</v>
      </c>
      <c r="T354" s="18" t="str">
        <f t="shared" si="311"/>
        <v>1+0.254772843785174i</v>
      </c>
      <c r="U354" s="18">
        <f t="shared" si="323"/>
        <v>1.0319443792813567</v>
      </c>
      <c r="V354" s="18">
        <f t="shared" si="324"/>
        <v>0.2494656822268439</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-0.110432374368305-0.447586775300408i</v>
      </c>
      <c r="AD354" s="66">
        <f t="shared" si="330"/>
        <v>-6.7258132974186369</v>
      </c>
      <c r="AE354" s="63">
        <f t="shared" si="331"/>
        <v>-103.85968630229726</v>
      </c>
      <c r="AF354" s="51" t="e">
        <f t="shared" si="332"/>
        <v>#NUM!</v>
      </c>
      <c r="AG354" s="51" t="str">
        <f t="shared" si="314"/>
        <v>1-76.4318531355524i</v>
      </c>
      <c r="AH354" s="51">
        <f t="shared" si="333"/>
        <v>76.438394630804822</v>
      </c>
      <c r="AI354" s="51">
        <f t="shared" si="334"/>
        <v>-1.5577135228973782</v>
      </c>
      <c r="AJ354" s="51" t="str">
        <f t="shared" si="315"/>
        <v>1+0.254772843785174i</v>
      </c>
      <c r="AK354" s="51">
        <f t="shared" si="335"/>
        <v>1.0319443792813567</v>
      </c>
      <c r="AL354" s="51">
        <f t="shared" si="336"/>
        <v>0.2494656822268439</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0.189384283897832+0.0851341493002204i</v>
      </c>
      <c r="BG354" s="66">
        <f t="shared" si="352"/>
        <v>-13.65379362118259</v>
      </c>
      <c r="BH354" s="63">
        <f t="shared" si="353"/>
        <v>24.20540561681182</v>
      </c>
      <c r="BI354" s="60" t="e">
        <f t="shared" si="306"/>
        <v>#NUM!</v>
      </c>
      <c r="BJ354" s="66" t="e">
        <f t="shared" si="354"/>
        <v>#NUM!</v>
      </c>
      <c r="BK354" s="63" t="e">
        <f t="shared" si="307"/>
        <v>#NUM!</v>
      </c>
      <c r="BL354" s="51">
        <f t="shared" si="355"/>
        <v>-13.65379362118259</v>
      </c>
      <c r="BM354" s="63">
        <f t="shared" si="356"/>
        <v>24.20540561681182</v>
      </c>
    </row>
    <row r="355" spans="14:65" x14ac:dyDescent="0.3">
      <c r="N355" s="11">
        <v>37</v>
      </c>
      <c r="O355" s="52">
        <f t="shared" si="308"/>
        <v>23442.288153199243</v>
      </c>
      <c r="P355" s="50" t="str">
        <f t="shared" si="309"/>
        <v>23.3035714285714</v>
      </c>
      <c r="Q355" s="18" t="str">
        <f t="shared" si="310"/>
        <v>1+55.865842643316i</v>
      </c>
      <c r="R355" s="18">
        <f t="shared" si="321"/>
        <v>55.874791939189763</v>
      </c>
      <c r="S355" s="18">
        <f t="shared" si="322"/>
        <v>1.5528982128565469</v>
      </c>
      <c r="T355" s="18" t="str">
        <f t="shared" si="311"/>
        <v>1+0.260707265668808i</v>
      </c>
      <c r="U355" s="18">
        <f t="shared" si="323"/>
        <v>1.033425506929506</v>
      </c>
      <c r="V355" s="18">
        <f t="shared" si="324"/>
        <v>0.25503042625951433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-0.110945967459524-0.438243110644807i</v>
      </c>
      <c r="AD355" s="66">
        <f t="shared" si="330"/>
        <v>-6.8959128789704529</v>
      </c>
      <c r="AE355" s="63">
        <f t="shared" si="331"/>
        <v>-104.20656271595506</v>
      </c>
      <c r="AF355" s="51" t="e">
        <f t="shared" si="332"/>
        <v>#NUM!</v>
      </c>
      <c r="AG355" s="51" t="str">
        <f t="shared" si="314"/>
        <v>1-78.2121797006426i</v>
      </c>
      <c r="AH355" s="51">
        <f t="shared" si="333"/>
        <v>78.218572305595103</v>
      </c>
      <c r="AI355" s="51">
        <f t="shared" si="334"/>
        <v>-1.5580112910431698</v>
      </c>
      <c r="AJ355" s="51" t="str">
        <f t="shared" si="315"/>
        <v>1+0.260707265668808i</v>
      </c>
      <c r="AK355" s="51">
        <f t="shared" si="335"/>
        <v>1.033425506929506</v>
      </c>
      <c r="AL355" s="51">
        <f t="shared" si="336"/>
        <v>0.25503042625951433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0.184559589513262+0.0793559606836496i</v>
      </c>
      <c r="BG355" s="66">
        <f t="shared" si="352"/>
        <v>-13.9405303284477</v>
      </c>
      <c r="BH355" s="63">
        <f t="shared" si="353"/>
        <v>23.26648313489617</v>
      </c>
      <c r="BI355" s="60" t="e">
        <f t="shared" si="306"/>
        <v>#NUM!</v>
      </c>
      <c r="BJ355" s="66" t="e">
        <f t="shared" si="354"/>
        <v>#NUM!</v>
      </c>
      <c r="BK355" s="63" t="e">
        <f t="shared" si="307"/>
        <v>#NUM!</v>
      </c>
      <c r="BL355" s="51">
        <f t="shared" si="355"/>
        <v>-13.9405303284477</v>
      </c>
      <c r="BM355" s="63">
        <f t="shared" si="356"/>
        <v>23.26648313489617</v>
      </c>
    </row>
    <row r="356" spans="14:65" x14ac:dyDescent="0.3">
      <c r="N356" s="11">
        <v>38</v>
      </c>
      <c r="O356" s="52">
        <f t="shared" si="308"/>
        <v>23988.329190194923</v>
      </c>
      <c r="P356" s="50" t="str">
        <f t="shared" si="309"/>
        <v>23.3035714285714</v>
      </c>
      <c r="Q356" s="18" t="str">
        <f t="shared" si="310"/>
        <v>1+57.1671252847644i</v>
      </c>
      <c r="R356" s="18">
        <f t="shared" si="321"/>
        <v>57.175870901315967</v>
      </c>
      <c r="S356" s="18">
        <f t="shared" si="322"/>
        <v>1.5533055396150157</v>
      </c>
      <c r="T356" s="18" t="str">
        <f t="shared" si="311"/>
        <v>1+0.266779917995568i</v>
      </c>
      <c r="U356" s="18">
        <f t="shared" si="323"/>
        <v>1.0349741661731089</v>
      </c>
      <c r="V356" s="18">
        <f t="shared" si="324"/>
        <v>0.26070812133434046</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-0.111450808913063-0.429128811484785i</v>
      </c>
      <c r="AD356" s="66">
        <f t="shared" si="330"/>
        <v>-7.06476532742251</v>
      </c>
      <c r="AE356" s="63">
        <f t="shared" si="331"/>
        <v>-104.55887222851823</v>
      </c>
      <c r="AF356" s="51" t="e">
        <f t="shared" si="332"/>
        <v>#NUM!</v>
      </c>
      <c r="AG356" s="51" t="str">
        <f t="shared" si="314"/>
        <v>1-80.0339753986704i</v>
      </c>
      <c r="AH356" s="51">
        <f t="shared" si="333"/>
        <v>80.040222501658391</v>
      </c>
      <c r="AI356" s="51">
        <f t="shared" si="334"/>
        <v>-1.5583022833493438</v>
      </c>
      <c r="AJ356" s="51" t="str">
        <f t="shared" si="315"/>
        <v>1+0.266779917995568i</v>
      </c>
      <c r="AK356" s="51">
        <f t="shared" si="335"/>
        <v>1.0349741661731089</v>
      </c>
      <c r="AL356" s="51">
        <f t="shared" si="336"/>
        <v>0.26070812133434046</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0.179785921416163+0.073821332794552i</v>
      </c>
      <c r="BG356" s="66">
        <f t="shared" si="352"/>
        <v>-14.228235030650659</v>
      </c>
      <c r="BH356" s="63">
        <f t="shared" si="353"/>
        <v>22.323389582749275</v>
      </c>
      <c r="BI356" s="60" t="e">
        <f t="shared" si="306"/>
        <v>#NUM!</v>
      </c>
      <c r="BJ356" s="66" t="e">
        <f t="shared" si="354"/>
        <v>#NUM!</v>
      </c>
      <c r="BK356" s="63" t="e">
        <f t="shared" si="307"/>
        <v>#NUM!</v>
      </c>
      <c r="BL356" s="51">
        <f t="shared" si="355"/>
        <v>-14.228235030650659</v>
      </c>
      <c r="BM356" s="63">
        <f t="shared" si="356"/>
        <v>22.323389582749275</v>
      </c>
    </row>
    <row r="357" spans="14:65" x14ac:dyDescent="0.3">
      <c r="N357" s="11">
        <v>39</v>
      </c>
      <c r="O357" s="52">
        <f t="shared" si="308"/>
        <v>24547.089156850321</v>
      </c>
      <c r="P357" s="50" t="str">
        <f t="shared" si="309"/>
        <v>23.3035714285714</v>
      </c>
      <c r="Q357" s="18" t="str">
        <f t="shared" si="310"/>
        <v>1+58.4987186927352i</v>
      </c>
      <c r="R357" s="18">
        <f t="shared" si="321"/>
        <v>58.507265264168403</v>
      </c>
      <c r="S357" s="18">
        <f t="shared" si="322"/>
        <v>1.5537036000934272</v>
      </c>
      <c r="T357" s="18" t="str">
        <f t="shared" si="311"/>
        <v>1+0.272994020566098i</v>
      </c>
      <c r="U357" s="18">
        <f t="shared" si="323"/>
        <v>1.0365933316710287</v>
      </c>
      <c r="V357" s="18">
        <f t="shared" si="324"/>
        <v>0.26650031301590771</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-0.111947912421492-0.420238919212247i</v>
      </c>
      <c r="AD357" s="66">
        <f t="shared" si="330"/>
        <v>-7.2323249506191658</v>
      </c>
      <c r="AE357" s="63">
        <f t="shared" si="331"/>
        <v>-104.91667614870602</v>
      </c>
      <c r="AF357" s="51" t="e">
        <f t="shared" si="332"/>
        <v>#NUM!</v>
      </c>
      <c r="AG357" s="51" t="str">
        <f t="shared" si="314"/>
        <v>1-81.8982061698295i</v>
      </c>
      <c r="AH357" s="51">
        <f t="shared" si="333"/>
        <v>81.9043110821152</v>
      </c>
      <c r="AI357" s="51">
        <f t="shared" si="334"/>
        <v>-1.558586653906638</v>
      </c>
      <c r="AJ357" s="51" t="str">
        <f t="shared" si="315"/>
        <v>1+0.272994020566098i</v>
      </c>
      <c r="AK357" s="51">
        <f t="shared" si="335"/>
        <v>1.0365933316710287</v>
      </c>
      <c r="AL357" s="51">
        <f t="shared" si="336"/>
        <v>0.26650031301590771</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0.175066698448319+0.0685247667592488i</v>
      </c>
      <c r="BG357" s="66">
        <f t="shared" si="352"/>
        <v>-14.516843928312309</v>
      </c>
      <c r="BH357" s="63">
        <f t="shared" si="353"/>
        <v>21.376413837943211</v>
      </c>
      <c r="BI357" s="60" t="e">
        <f t="shared" si="306"/>
        <v>#NUM!</v>
      </c>
      <c r="BJ357" s="66" t="e">
        <f t="shared" si="354"/>
        <v>#NUM!</v>
      </c>
      <c r="BK357" s="63" t="e">
        <f t="shared" si="307"/>
        <v>#NUM!</v>
      </c>
      <c r="BL357" s="51">
        <f t="shared" si="355"/>
        <v>-14.516843928312309</v>
      </c>
      <c r="BM357" s="63">
        <f t="shared" si="356"/>
        <v>21.376413837943211</v>
      </c>
    </row>
    <row r="358" spans="14:65" x14ac:dyDescent="0.3">
      <c r="N358" s="11">
        <v>40</v>
      </c>
      <c r="O358" s="52">
        <f t="shared" si="308"/>
        <v>25118.86431509586</v>
      </c>
      <c r="P358" s="50" t="str">
        <f t="shared" si="309"/>
        <v>23.3035714285714</v>
      </c>
      <c r="Q358" s="18" t="str">
        <f t="shared" si="310"/>
        <v>1+59.8613288956794i</v>
      </c>
      <c r="R358" s="18">
        <f t="shared" si="321"/>
        <v>59.869680950851084</v>
      </c>
      <c r="S358" s="18">
        <f t="shared" si="322"/>
        <v>1.5540926048438379</v>
      </c>
      <c r="T358" s="18" t="str">
        <f t="shared" si="311"/>
        <v>1+0.279352868179837i</v>
      </c>
      <c r="U358" s="18">
        <f t="shared" si="323"/>
        <v>1.0382860997626335</v>
      </c>
      <c r="V358" s="18">
        <f t="shared" si="324"/>
        <v>0.27240851716841252</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-0.112438270304754-0.411568581046461i</v>
      </c>
      <c r="AD358" s="66">
        <f t="shared" si="330"/>
        <v>-7.3985449826940632</v>
      </c>
      <c r="AE358" s="63">
        <f t="shared" si="331"/>
        <v>-105.28003226707899</v>
      </c>
      <c r="AF358" s="51" t="e">
        <f t="shared" si="332"/>
        <v>#NUM!</v>
      </c>
      <c r="AG358" s="51" t="str">
        <f t="shared" si="314"/>
        <v>1-83.8058604539513i</v>
      </c>
      <c r="AH358" s="51">
        <f t="shared" si="333"/>
        <v>83.811826411474641</v>
      </c>
      <c r="AI358" s="51">
        <f t="shared" si="334"/>
        <v>-1.5588645533080112</v>
      </c>
      <c r="AJ358" s="51" t="str">
        <f t="shared" si="315"/>
        <v>1+0.279352868179837i</v>
      </c>
      <c r="AK358" s="51">
        <f t="shared" si="335"/>
        <v>1.0382860997626335</v>
      </c>
      <c r="AL358" s="51">
        <f t="shared" si="336"/>
        <v>0.27240851716841252</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0.170405213569027+0.0634606271318932i</v>
      </c>
      <c r="BG358" s="66">
        <f t="shared" si="352"/>
        <v>-14.806290035700552</v>
      </c>
      <c r="BH358" s="63">
        <f t="shared" si="353"/>
        <v>20.425840266860941</v>
      </c>
      <c r="BI358" s="60" t="e">
        <f t="shared" si="306"/>
        <v>#NUM!</v>
      </c>
      <c r="BJ358" s="66" t="e">
        <f t="shared" si="354"/>
        <v>#NUM!</v>
      </c>
      <c r="BK358" s="63" t="e">
        <f t="shared" si="307"/>
        <v>#NUM!</v>
      </c>
      <c r="BL358" s="51">
        <f t="shared" si="355"/>
        <v>-14.806290035700552</v>
      </c>
      <c r="BM358" s="63">
        <f t="shared" si="356"/>
        <v>20.425840266860941</v>
      </c>
    </row>
    <row r="359" spans="14:65" x14ac:dyDescent="0.3">
      <c r="N359" s="11">
        <v>41</v>
      </c>
      <c r="O359" s="52">
        <f t="shared" si="308"/>
        <v>25703.95782768865</v>
      </c>
      <c r="P359" s="50" t="str">
        <f t="shared" si="309"/>
        <v>23.3035714285714</v>
      </c>
      <c r="Q359" s="18" t="str">
        <f t="shared" si="310"/>
        <v>1+61.2556783675619i</v>
      </c>
      <c r="R359" s="18">
        <f t="shared" si="321"/>
        <v>61.263840332370535</v>
      </c>
      <c r="S359" s="18">
        <f t="shared" si="322"/>
        <v>1.5544727596505172</v>
      </c>
      <c r="T359" s="18" t="str">
        <f t="shared" si="311"/>
        <v>1+0.285859832381956i</v>
      </c>
      <c r="U359" s="18">
        <f t="shared" si="323"/>
        <v>1.0400556926287361</v>
      </c>
      <c r="V359" s="18">
        <f t="shared" si="324"/>
        <v>0.27843421584459455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-0.112922855157757-0.403113046996568i</v>
      </c>
      <c r="AD359" s="66">
        <f t="shared" si="330"/>
        <v>-7.5633776084709208</v>
      </c>
      <c r="AE359" s="63">
        <f t="shared" si="331"/>
        <v>-105.64899466564782</v>
      </c>
      <c r="AF359" s="51" t="e">
        <f t="shared" si="332"/>
        <v>#NUM!</v>
      </c>
      <c r="AG359" s="51" t="str">
        <f t="shared" si="314"/>
        <v>1-85.7579497145869i</v>
      </c>
      <c r="AH359" s="51">
        <f t="shared" si="333"/>
        <v>85.763779879676562</v>
      </c>
      <c r="AI359" s="51">
        <f t="shared" si="334"/>
        <v>-1.5591361287276131</v>
      </c>
      <c r="AJ359" s="51" t="str">
        <f t="shared" si="315"/>
        <v>1+0.285859832381956i</v>
      </c>
      <c r="AK359" s="51">
        <f t="shared" si="335"/>
        <v>1.0400556926287361</v>
      </c>
      <c r="AL359" s="51">
        <f t="shared" si="336"/>
        <v>0.27843421584459455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0.165804618755363+0.0586231538882036i</v>
      </c>
      <c r="BG359" s="66">
        <f t="shared" si="352"/>
        <v>-15.096503290022056</v>
      </c>
      <c r="BH359" s="63">
        <f t="shared" si="353"/>
        <v>19.47194823163635</v>
      </c>
      <c r="BI359" s="60" t="e">
        <f t="shared" si="306"/>
        <v>#NUM!</v>
      </c>
      <c r="BJ359" s="66" t="e">
        <f t="shared" si="354"/>
        <v>#NUM!</v>
      </c>
      <c r="BK359" s="63" t="e">
        <f t="shared" si="307"/>
        <v>#NUM!</v>
      </c>
      <c r="BL359" s="51">
        <f t="shared" si="355"/>
        <v>-15.096503290022056</v>
      </c>
      <c r="BM359" s="63">
        <f t="shared" si="356"/>
        <v>19.47194823163635</v>
      </c>
    </row>
    <row r="360" spans="14:65" x14ac:dyDescent="0.3">
      <c r="N360" s="11">
        <v>42</v>
      </c>
      <c r="O360" s="52">
        <f t="shared" si="308"/>
        <v>26302.679918953829</v>
      </c>
      <c r="P360" s="50" t="str">
        <f t="shared" si="309"/>
        <v>23.3035714285714</v>
      </c>
      <c r="Q360" s="18" t="str">
        <f t="shared" si="310"/>
        <v>1+62.6825064109298i</v>
      </c>
      <c r="R360" s="18">
        <f t="shared" si="321"/>
        <v>62.690482610650356</v>
      </c>
      <c r="S360" s="18">
        <f t="shared" si="322"/>
        <v>1.5548442656368109</v>
      </c>
      <c r="T360" s="18" t="str">
        <f t="shared" si="311"/>
        <v>1+0.292518363251006i</v>
      </c>
      <c r="U360" s="18">
        <f t="shared" si="323"/>
        <v>1.0419054625248143</v>
      </c>
      <c r="V360" s="18">
        <f t="shared" si="324"/>
        <v>0.28457885296320123</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-0.113402621419865-0.394867666836037i</v>
      </c>
      <c r="AD360" s="66">
        <f t="shared" si="330"/>
        <v>-7.7267739931628068</v>
      </c>
      <c r="AE360" s="63">
        <f t="shared" si="331"/>
        <v>-106.02361352906483</v>
      </c>
      <c r="AF360" s="51" t="e">
        <f t="shared" si="332"/>
        <v>#NUM!</v>
      </c>
      <c r="AG360" s="51" t="str">
        <f t="shared" si="314"/>
        <v>1-87.755508975302i</v>
      </c>
      <c r="AH360" s="51">
        <f t="shared" si="333"/>
        <v>87.761206438347855</v>
      </c>
      <c r="AI360" s="51">
        <f t="shared" si="334"/>
        <v>-1.5594015239979973</v>
      </c>
      <c r="AJ360" s="51" t="str">
        <f t="shared" si="315"/>
        <v>1+0.292518363251006i</v>
      </c>
      <c r="AK360" s="51">
        <f t="shared" si="335"/>
        <v>1.0419054625248143</v>
      </c>
      <c r="AL360" s="51">
        <f t="shared" si="336"/>
        <v>0.28457885296320123</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0.161267911362906+0.0540064754097877i</v>
      </c>
      <c r="BG360" s="66">
        <f t="shared" si="352"/>
        <v>-15.387410672352622</v>
      </c>
      <c r="BH360" s="63">
        <f t="shared" si="353"/>
        <v>18.515011643045568</v>
      </c>
      <c r="BI360" s="60" t="e">
        <f t="shared" si="306"/>
        <v>#NUM!</v>
      </c>
      <c r="BJ360" s="66" t="e">
        <f t="shared" si="354"/>
        <v>#NUM!</v>
      </c>
      <c r="BK360" s="63" t="e">
        <f t="shared" si="307"/>
        <v>#NUM!</v>
      </c>
      <c r="BL360" s="51">
        <f t="shared" si="355"/>
        <v>-15.387410672352622</v>
      </c>
      <c r="BM360" s="63">
        <f t="shared" si="356"/>
        <v>18.515011643045568</v>
      </c>
    </row>
    <row r="361" spans="14:65" x14ac:dyDescent="0.3">
      <c r="N361" s="11">
        <v>43</v>
      </c>
      <c r="O361" s="52">
        <f t="shared" si="308"/>
        <v>26915.348039269167</v>
      </c>
      <c r="P361" s="50" t="str">
        <f t="shared" si="309"/>
        <v>23.3035714285714</v>
      </c>
      <c r="Q361" s="18" t="str">
        <f t="shared" si="310"/>
        <v>1+64.1425695488981i</v>
      </c>
      <c r="R361" s="18">
        <f t="shared" si="321"/>
        <v>64.150364210464375</v>
      </c>
      <c r="S361" s="18">
        <f t="shared" si="322"/>
        <v>1.5552073193696825</v>
      </c>
      <c r="T361" s="18" t="str">
        <f t="shared" si="311"/>
        <v>1+0.299331991228191i</v>
      </c>
      <c r="U361" s="18">
        <f t="shared" si="323"/>
        <v>1.0438388960814948</v>
      </c>
      <c r="V361" s="18">
        <f t="shared" si="324"/>
        <v>0.29084382977338441</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-0.113878506866772-0.386827887087445i</v>
      </c>
      <c r="AD361" s="66">
        <f t="shared" si="330"/>
        <v>-7.8886843176913226</v>
      </c>
      <c r="AE361" s="63">
        <f t="shared" si="331"/>
        <v>-106.40393495865636</v>
      </c>
      <c r="AF361" s="51" t="e">
        <f t="shared" si="332"/>
        <v>#NUM!</v>
      </c>
      <c r="AG361" s="51" t="str">
        <f t="shared" si="314"/>
        <v>1-89.7995973684575i</v>
      </c>
      <c r="AH361" s="51">
        <f t="shared" si="333"/>
        <v>89.805165149545161</v>
      </c>
      <c r="AI361" s="51">
        <f t="shared" si="334"/>
        <v>-1.5596608796856191</v>
      </c>
      <c r="AJ361" s="51" t="str">
        <f t="shared" si="315"/>
        <v>1+0.299331991228191i</v>
      </c>
      <c r="AK361" s="51">
        <f t="shared" si="335"/>
        <v>1.0438388960814948</v>
      </c>
      <c r="AL361" s="51">
        <f t="shared" si="336"/>
        <v>0.29084382977338441</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0.156797922009102+0.0496046223015809i</v>
      </c>
      <c r="BG361" s="66">
        <f t="shared" si="352"/>
        <v>-15.678936339912216</v>
      </c>
      <c r="BH361" s="63">
        <f t="shared" si="353"/>
        <v>17.555298560939228</v>
      </c>
      <c r="BI361" s="60" t="e">
        <f t="shared" si="306"/>
        <v>#NUM!</v>
      </c>
      <c r="BJ361" s="66" t="e">
        <f t="shared" si="354"/>
        <v>#NUM!</v>
      </c>
      <c r="BK361" s="63" t="e">
        <f t="shared" si="307"/>
        <v>#NUM!</v>
      </c>
      <c r="BL361" s="51">
        <f t="shared" si="355"/>
        <v>-15.678936339912216</v>
      </c>
      <c r="BM361" s="63">
        <f t="shared" si="356"/>
        <v>17.555298560939228</v>
      </c>
    </row>
    <row r="362" spans="14:65" x14ac:dyDescent="0.3">
      <c r="N362" s="11">
        <v>44</v>
      </c>
      <c r="O362" s="52">
        <f t="shared" si="308"/>
        <v>27542.287033381719</v>
      </c>
      <c r="P362" s="50" t="str">
        <f t="shared" si="309"/>
        <v>23.3035714285714</v>
      </c>
      <c r="Q362" s="18" t="str">
        <f t="shared" si="310"/>
        <v>1+65.6366419262684i</v>
      </c>
      <c r="R362" s="18">
        <f t="shared" si="321"/>
        <v>65.644259180503937</v>
      </c>
      <c r="S362" s="18">
        <f t="shared" si="322"/>
        <v>1.5555621129619801</v>
      </c>
      <c r="T362" s="18" t="str">
        <f t="shared" si="311"/>
        <v>1+0.306304328989253i</v>
      </c>
      <c r="U362" s="18">
        <f t="shared" si="323"/>
        <v>1.0458596186666529</v>
      </c>
      <c r="V362" s="18">
        <f t="shared" si="324"/>
        <v>0.29723050010552204</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-0.114351434024872-0.378989248015965i</v>
      </c>
      <c r="AD362" s="66">
        <f t="shared" si="330"/>
        <v>-8.0490578199439877</v>
      </c>
      <c r="AE362" s="63">
        <f t="shared" si="331"/>
        <v>-106.7900007906438</v>
      </c>
      <c r="AF362" s="51" t="e">
        <f t="shared" si="332"/>
        <v>#NUM!</v>
      </c>
      <c r="AG362" s="51" t="str">
        <f t="shared" si="314"/>
        <v>1-91.891298696776i</v>
      </c>
      <c r="AH362" s="51">
        <f t="shared" si="333"/>
        <v>91.896739747284343</v>
      </c>
      <c r="AI362" s="51">
        <f t="shared" si="334"/>
        <v>-1.5599143331646517</v>
      </c>
      <c r="AJ362" s="51" t="str">
        <f t="shared" si="315"/>
        <v>1+0.306304328989253i</v>
      </c>
      <c r="AK362" s="51">
        <f t="shared" si="335"/>
        <v>1.0458596186666529</v>
      </c>
      <c r="AL362" s="51">
        <f t="shared" si="336"/>
        <v>0.29723050010552204</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0.152397304022611+0.0454115418815203i</v>
      </c>
      <c r="BG362" s="66">
        <f t="shared" si="352"/>
        <v>-15.97100176925542</v>
      </c>
      <c r="BH362" s="63">
        <f t="shared" si="353"/>
        <v>16.59307084319688</v>
      </c>
      <c r="BI362" s="60" t="e">
        <f t="shared" si="306"/>
        <v>#NUM!</v>
      </c>
      <c r="BJ362" s="66" t="e">
        <f t="shared" si="354"/>
        <v>#NUM!</v>
      </c>
      <c r="BK362" s="63" t="e">
        <f t="shared" si="307"/>
        <v>#NUM!</v>
      </c>
      <c r="BL362" s="51">
        <f t="shared" si="355"/>
        <v>-15.97100176925542</v>
      </c>
      <c r="BM362" s="63">
        <f t="shared" si="356"/>
        <v>16.59307084319688</v>
      </c>
    </row>
    <row r="363" spans="14:65" x14ac:dyDescent="0.3">
      <c r="N363" s="11">
        <v>45</v>
      </c>
      <c r="O363" s="52">
        <f t="shared" si="308"/>
        <v>28183.829312644593</v>
      </c>
      <c r="P363" s="50" t="str">
        <f t="shared" si="309"/>
        <v>23.3035714285714</v>
      </c>
      <c r="Q363" s="18" t="str">
        <f t="shared" si="310"/>
        <v>1+67.1655157199916i</v>
      </c>
      <c r="R363" s="18">
        <f t="shared" si="321"/>
        <v>67.172959603790261</v>
      </c>
      <c r="S363" s="18">
        <f t="shared" si="322"/>
        <v>1.5559088341724705</v>
      </c>
      <c r="T363" s="18" t="str">
        <f t="shared" si="311"/>
        <v>1+0.313439073359961i</v>
      </c>
      <c r="U363" s="18">
        <f t="shared" si="323"/>
        <v>1.0479713988028256</v>
      </c>
      <c r="V363" s="18">
        <f t="shared" si="324"/>
        <v>0.30374016540912224</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-0.114822311507947-0.371347380630035i</v>
      </c>
      <c r="AD363" s="66">
        <f t="shared" si="330"/>
        <v>-8.2078428422796463</v>
      </c>
      <c r="AE363" s="63">
        <f t="shared" si="331"/>
        <v>-107.18184841999584</v>
      </c>
      <c r="AF363" s="51" t="e">
        <f t="shared" si="332"/>
        <v>#NUM!</v>
      </c>
      <c r="AG363" s="51" t="str">
        <f t="shared" si="314"/>
        <v>1-94.0317220079885i</v>
      </c>
      <c r="AH363" s="51">
        <f t="shared" si="333"/>
        <v>94.037039212151029</v>
      </c>
      <c r="AI363" s="51">
        <f t="shared" si="334"/>
        <v>-1.5601620186891574</v>
      </c>
      <c r="AJ363" s="51" t="str">
        <f t="shared" si="315"/>
        <v>1+0.313439073359961i</v>
      </c>
      <c r="AK363" s="51">
        <f t="shared" si="335"/>
        <v>1.0479713988028256</v>
      </c>
      <c r="AL363" s="51">
        <f t="shared" si="336"/>
        <v>0.30374016540912224</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0.148068524483155+0.0414211131805458i</v>
      </c>
      <c r="BG363" s="66">
        <f t="shared" si="352"/>
        <v>-16.263525909924969</v>
      </c>
      <c r="BH363" s="63">
        <f t="shared" si="353"/>
        <v>15.62858384355023</v>
      </c>
      <c r="BI363" s="60" t="e">
        <f t="shared" si="306"/>
        <v>#NUM!</v>
      </c>
      <c r="BJ363" s="66" t="e">
        <f t="shared" si="354"/>
        <v>#NUM!</v>
      </c>
      <c r="BK363" s="63" t="e">
        <f t="shared" si="307"/>
        <v>#NUM!</v>
      </c>
      <c r="BL363" s="51">
        <f t="shared" si="355"/>
        <v>-16.263525909924969</v>
      </c>
      <c r="BM363" s="63">
        <f t="shared" si="356"/>
        <v>15.62858384355023</v>
      </c>
    </row>
    <row r="364" spans="14:65" x14ac:dyDescent="0.3">
      <c r="N364" s="11">
        <v>46</v>
      </c>
      <c r="O364" s="52">
        <f t="shared" si="308"/>
        <v>28840.315031266062</v>
      </c>
      <c r="P364" s="50" t="str">
        <f t="shared" si="309"/>
        <v>23.3035714285714</v>
      </c>
      <c r="Q364" s="18" t="str">
        <f t="shared" si="310"/>
        <v>1+68.7300015591899i</v>
      </c>
      <c r="R364" s="18">
        <f t="shared" si="321"/>
        <v>68.737276017647403</v>
      </c>
      <c r="S364" s="18">
        <f t="shared" si="322"/>
        <v>1.5562476665036868</v>
      </c>
      <c r="T364" s="18" t="str">
        <f t="shared" si="311"/>
        <v>1+0.32074000727622i</v>
      </c>
      <c r="U364" s="18">
        <f t="shared" si="323"/>
        <v>1.0501781526329472</v>
      </c>
      <c r="V364" s="18">
        <f t="shared" si="324"/>
        <v>0.31037406957978075</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-0.115292035275652-0.363898003687784i</v>
      </c>
      <c r="AD364" s="66">
        <f t="shared" si="330"/>
        <v>-8.3649868855802776</v>
      </c>
      <c r="AE364" s="63">
        <f t="shared" si="331"/>
        <v>-107.57951063143597</v>
      </c>
      <c r="AF364" s="51" t="e">
        <f t="shared" si="332"/>
        <v>#NUM!</v>
      </c>
      <c r="AG364" s="51" t="str">
        <f t="shared" si="314"/>
        <v>1-96.222002182866i</v>
      </c>
      <c r="AH364" s="51">
        <f t="shared" si="333"/>
        <v>96.227198359296892</v>
      </c>
      <c r="AI364" s="51">
        <f t="shared" si="334"/>
        <v>-1.5604040674636499</v>
      </c>
      <c r="AJ364" s="51" t="str">
        <f t="shared" si="315"/>
        <v>1+0.32074000727622i</v>
      </c>
      <c r="AK364" s="51">
        <f t="shared" si="335"/>
        <v>1.0501781526329472</v>
      </c>
      <c r="AL364" s="51">
        <f t="shared" si="336"/>
        <v>0.31037406957978075</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0.143813856858074+0.037627162292475i</v>
      </c>
      <c r="BG364" s="66">
        <f t="shared" si="352"/>
        <v>-16.556425348093853</v>
      </c>
      <c r="BH364" s="63">
        <f t="shared" si="353"/>
        <v>14.662086158017436</v>
      </c>
      <c r="BI364" s="60" t="e">
        <f t="shared" si="306"/>
        <v>#NUM!</v>
      </c>
      <c r="BJ364" s="66" t="e">
        <f t="shared" si="354"/>
        <v>#NUM!</v>
      </c>
      <c r="BK364" s="63" t="e">
        <f t="shared" si="307"/>
        <v>#NUM!</v>
      </c>
      <c r="BL364" s="51">
        <f t="shared" si="355"/>
        <v>-16.556425348093853</v>
      </c>
      <c r="BM364" s="63">
        <f t="shared" si="356"/>
        <v>14.662086158017436</v>
      </c>
    </row>
    <row r="365" spans="14:65" x14ac:dyDescent="0.3">
      <c r="N365" s="11">
        <v>47</v>
      </c>
      <c r="O365" s="52">
        <f t="shared" si="308"/>
        <v>29512.092266663854</v>
      </c>
      <c r="P365" s="50" t="str">
        <f t="shared" si="309"/>
        <v>23.3035714285714</v>
      </c>
      <c r="Q365" s="18" t="str">
        <f t="shared" si="310"/>
        <v>1+70.3309289549646i</v>
      </c>
      <c r="R365" s="18">
        <f t="shared" si="321"/>
        <v>70.338037843461905</v>
      </c>
      <c r="S365" s="18">
        <f t="shared" si="322"/>
        <v>1.5565787892976344</v>
      </c>
      <c r="T365" s="18" t="str">
        <f t="shared" si="311"/>
        <v>1+0.328211001789835i</v>
      </c>
      <c r="U365" s="18">
        <f t="shared" si="323"/>
        <v>1.0524839484267146</v>
      </c>
      <c r="V365" s="18">
        <f t="shared" si="324"/>
        <v>0.31713339357861692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-0.115761489812949-0.356636920707837i</v>
      </c>
      <c r="AD365" s="66">
        <f t="shared" si="330"/>
        <v>-8.5204366701339147</v>
      </c>
      <c r="AE365" s="63">
        <f t="shared" si="331"/>
        <v>-107.98301543920934</v>
      </c>
      <c r="AF365" s="51" t="e">
        <f t="shared" si="332"/>
        <v>#NUM!</v>
      </c>
      <c r="AG365" s="51" t="str">
        <f t="shared" si="314"/>
        <v>1-98.4633005369507i</v>
      </c>
      <c r="AH365" s="51">
        <f t="shared" si="333"/>
        <v>98.468378440136178</v>
      </c>
      <c r="AI365" s="51">
        <f t="shared" si="334"/>
        <v>-1.5606406077120798</v>
      </c>
      <c r="AJ365" s="51" t="str">
        <f t="shared" si="315"/>
        <v>1+0.328211001789835i</v>
      </c>
      <c r="AK365" s="51">
        <f t="shared" si="335"/>
        <v>1.0524839484267146</v>
      </c>
      <c r="AL365" s="51">
        <f t="shared" si="336"/>
        <v>0.31713339357861692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0.139635375224201+0.0340234779169018i</v>
      </c>
      <c r="BG365" s="66">
        <f t="shared" si="352"/>
        <v>-16.849614479707562</v>
      </c>
      <c r="BH365" s="63">
        <f t="shared" si="353"/>
        <v>13.693819419078849</v>
      </c>
      <c r="BI365" s="60" t="e">
        <f t="shared" si="306"/>
        <v>#NUM!</v>
      </c>
      <c r="BJ365" s="66" t="e">
        <f t="shared" si="354"/>
        <v>#NUM!</v>
      </c>
      <c r="BK365" s="63" t="e">
        <f t="shared" si="307"/>
        <v>#NUM!</v>
      </c>
      <c r="BL365" s="51">
        <f t="shared" si="355"/>
        <v>-16.849614479707562</v>
      </c>
      <c r="BM365" s="63">
        <f t="shared" si="356"/>
        <v>13.693819419078849</v>
      </c>
    </row>
    <row r="366" spans="14:65" x14ac:dyDescent="0.3">
      <c r="N366" s="11">
        <v>48</v>
      </c>
      <c r="O366" s="52">
        <f t="shared" si="308"/>
        <v>30199.517204020212</v>
      </c>
      <c r="P366" s="50" t="str">
        <f t="shared" si="309"/>
        <v>23.3035714285714</v>
      </c>
      <c r="Q366" s="18" t="str">
        <f t="shared" si="310"/>
        <v>1+71.9691467402109i</v>
      </c>
      <c r="R366" s="18">
        <f t="shared" si="321"/>
        <v>71.976093826450537</v>
      </c>
      <c r="S366" s="18">
        <f t="shared" si="322"/>
        <v>1.556902377829394</v>
      </c>
      <c r="T366" s="18" t="str">
        <f t="shared" si="311"/>
        <v>1+0.335856018120984i</v>
      </c>
      <c r="U366" s="18">
        <f t="shared" si="323"/>
        <v>1.0548930111191763</v>
      </c>
      <c r="V366" s="18">
        <f t="shared" si="324"/>
        <v>0.32401924984921293</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-0.116231549229278-0.349560016983357i</v>
      </c>
      <c r="AD366" s="66">
        <f t="shared" si="330"/>
        <v>-8.6741382036121806</v>
      </c>
      <c r="AE366" s="63">
        <f t="shared" si="331"/>
        <v>-108.39238593726998</v>
      </c>
      <c r="AF366" s="51" t="e">
        <f t="shared" si="332"/>
        <v>#NUM!</v>
      </c>
      <c r="AG366" s="51" t="str">
        <f t="shared" si="314"/>
        <v>1-100.756805436295i</v>
      </c>
      <c r="AH366" s="51">
        <f t="shared" si="333"/>
        <v>100.76176775805098</v>
      </c>
      <c r="AI366" s="51">
        <f t="shared" si="334"/>
        <v>-1.5608717647452788</v>
      </c>
      <c r="AJ366" s="51" t="str">
        <f t="shared" si="315"/>
        <v>1+0.335856018120984i</v>
      </c>
      <c r="AK366" s="51">
        <f t="shared" si="335"/>
        <v>1.0548930111191763</v>
      </c>
      <c r="AL366" s="51">
        <f t="shared" si="336"/>
        <v>0.32401924984921293</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0.135534950047121+0.0306038269440128i</v>
      </c>
      <c r="BG366" s="66">
        <f t="shared" si="352"/>
        <v>-17.143005692626463</v>
      </c>
      <c r="BH366" s="63">
        <f t="shared" si="353"/>
        <v>12.724018136167984</v>
      </c>
      <c r="BI366" s="60" t="e">
        <f t="shared" si="306"/>
        <v>#NUM!</v>
      </c>
      <c r="BJ366" s="66" t="e">
        <f t="shared" si="354"/>
        <v>#NUM!</v>
      </c>
      <c r="BK366" s="63" t="e">
        <f t="shared" si="307"/>
        <v>#NUM!</v>
      </c>
      <c r="BL366" s="51">
        <f t="shared" si="355"/>
        <v>-17.143005692626463</v>
      </c>
      <c r="BM366" s="63">
        <f t="shared" si="356"/>
        <v>12.724018136167984</v>
      </c>
    </row>
    <row r="367" spans="14:65" x14ac:dyDescent="0.3">
      <c r="N367" s="11">
        <v>49</v>
      </c>
      <c r="O367" s="52">
        <f t="shared" si="308"/>
        <v>30902.954325135954</v>
      </c>
      <c r="P367" s="50" t="str">
        <f t="shared" si="309"/>
        <v>23.3035714285714</v>
      </c>
      <c r="Q367" s="18" t="str">
        <f t="shared" si="310"/>
        <v>1+73.645523519683i</v>
      </c>
      <c r="R367" s="18">
        <f t="shared" si="321"/>
        <v>73.652312485679502</v>
      </c>
      <c r="S367" s="18">
        <f t="shared" si="322"/>
        <v>1.5572186033986706</v>
      </c>
      <c r="T367" s="18" t="str">
        <f t="shared" si="311"/>
        <v>1+0.343679109758521i</v>
      </c>
      <c r="U367" s="18">
        <f t="shared" si="323"/>
        <v>1.0574097268724219</v>
      </c>
      <c r="V367" s="18">
        <f t="shared" si="324"/>
        <v>0.33103267653887036</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-0.116703078275962-0.342663256598187i</v>
      </c>
      <c r="AD367" s="66">
        <f t="shared" si="330"/>
        <v>-8.8260368563855511</v>
      </c>
      <c r="AE367" s="63">
        <f t="shared" si="331"/>
        <v>-108.80764016161532</v>
      </c>
      <c r="AF367" s="51" t="e">
        <f t="shared" si="332"/>
        <v>#NUM!</v>
      </c>
      <c r="AG367" s="51" t="str">
        <f t="shared" si="314"/>
        <v>1-103.103732927556i</v>
      </c>
      <c r="AH367" s="51">
        <f t="shared" si="333"/>
        <v>103.10858229845272</v>
      </c>
      <c r="AI367" s="51">
        <f t="shared" si="334"/>
        <v>-1.5610976610268967</v>
      </c>
      <c r="AJ367" s="51" t="str">
        <f t="shared" si="315"/>
        <v>1+0.343679109758521i</v>
      </c>
      <c r="AK367" s="51">
        <f t="shared" si="335"/>
        <v>1.0574097268724219</v>
      </c>
      <c r="AL367" s="51">
        <f t="shared" si="336"/>
        <v>0.33103267653887036</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0.131514245474554+0.0273619699376564i</v>
      </c>
      <c r="BG367" s="66">
        <f t="shared" si="352"/>
        <v>-17.436509557265136</v>
      </c>
      <c r="BH367" s="63">
        <f t="shared" si="353"/>
        <v>11.75290958048579</v>
      </c>
      <c r="BI367" s="60" t="e">
        <f t="shared" si="306"/>
        <v>#NUM!</v>
      </c>
      <c r="BJ367" s="66" t="e">
        <f t="shared" si="354"/>
        <v>#NUM!</v>
      </c>
      <c r="BK367" s="63" t="e">
        <f t="shared" si="307"/>
        <v>#NUM!</v>
      </c>
      <c r="BL367" s="51">
        <f t="shared" si="355"/>
        <v>-17.436509557265136</v>
      </c>
      <c r="BM367" s="63">
        <f t="shared" si="356"/>
        <v>11.75290958048579</v>
      </c>
    </row>
    <row r="368" spans="14:65" x14ac:dyDescent="0.3">
      <c r="N368" s="11">
        <v>50</v>
      </c>
      <c r="O368" s="52">
        <f t="shared" si="308"/>
        <v>31622.77660168384</v>
      </c>
      <c r="P368" s="50" t="str">
        <f t="shared" si="309"/>
        <v>23.3035714285714</v>
      </c>
      <c r="Q368" s="18" t="str">
        <f t="shared" si="310"/>
        <v>1+75.360948130539i</v>
      </c>
      <c r="R368" s="18">
        <f t="shared" si="321"/>
        <v>75.367582574564452</v>
      </c>
      <c r="S368" s="18">
        <f t="shared" si="322"/>
        <v>1.5575276334193242</v>
      </c>
      <c r="T368" s="18" t="str">
        <f t="shared" si="311"/>
        <v>1+0.351684424609182i</v>
      </c>
      <c r="U368" s="18">
        <f t="shared" si="323"/>
        <v>1.0600386476504955</v>
      </c>
      <c r="V368" s="18">
        <f t="shared" si="324"/>
        <v>0.33817463153283756</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-0.117176933279971-0.335942679444315i</v>
      </c>
      <c r="AD368" s="66">
        <f t="shared" si="330"/>
        <v>-8.9760774443878653</v>
      </c>
      <c r="AE368" s="63">
        <f t="shared" si="331"/>
        <v>-109.22879096652032</v>
      </c>
      <c r="AF368" s="51" t="e">
        <f t="shared" si="332"/>
        <v>#NUM!</v>
      </c>
      <c r="AG368" s="51" t="str">
        <f t="shared" si="314"/>
        <v>1-105.505327382755i</v>
      </c>
      <c r="AH368" s="51">
        <f t="shared" si="333"/>
        <v>105.51006637350918</v>
      </c>
      <c r="AI368" s="51">
        <f t="shared" si="334"/>
        <v>-1.5613184162378611</v>
      </c>
      <c r="AJ368" s="51" t="str">
        <f t="shared" si="315"/>
        <v>1+0.351684424609182i</v>
      </c>
      <c r="AK368" s="51">
        <f t="shared" si="335"/>
        <v>1.0600386476504955</v>
      </c>
      <c r="AL368" s="51">
        <f t="shared" si="336"/>
        <v>0.33817463153283756</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0.127574718086836+0.0242916763821979i</v>
      </c>
      <c r="BG368" s="66">
        <f t="shared" si="352"/>
        <v>-17.730035025216836</v>
      </c>
      <c r="BH368" s="63">
        <f t="shared" si="353"/>
        <v>10.780713711678322</v>
      </c>
      <c r="BI368" s="60" t="e">
        <f t="shared" si="306"/>
        <v>#NUM!</v>
      </c>
      <c r="BJ368" s="66" t="e">
        <f t="shared" si="354"/>
        <v>#NUM!</v>
      </c>
      <c r="BK368" s="63" t="e">
        <f t="shared" si="307"/>
        <v>#NUM!</v>
      </c>
      <c r="BL368" s="51">
        <f t="shared" si="355"/>
        <v>-17.730035025216836</v>
      </c>
      <c r="BM368" s="63">
        <f t="shared" si="356"/>
        <v>10.780713711678322</v>
      </c>
    </row>
    <row r="369" spans="14:65" x14ac:dyDescent="0.3">
      <c r="N369" s="11">
        <v>51</v>
      </c>
      <c r="O369" s="52">
        <f t="shared" si="308"/>
        <v>32359.365692962871</v>
      </c>
      <c r="P369" s="50" t="str">
        <f t="shared" si="309"/>
        <v>23.3035714285714</v>
      </c>
      <c r="Q369" s="18" t="str">
        <f t="shared" si="310"/>
        <v>1+77.1163301136139i</v>
      </c>
      <c r="R369" s="18">
        <f t="shared" si="321"/>
        <v>77.122813552099316</v>
      </c>
      <c r="S369" s="18">
        <f t="shared" si="322"/>
        <v>1.5578296315069291</v>
      </c>
      <c r="T369" s="18" t="str">
        <f t="shared" si="311"/>
        <v>1+0.359876207196865i</v>
      </c>
      <c r="U369" s="18">
        <f t="shared" si="323"/>
        <v>1.062784495796961</v>
      </c>
      <c r="V369" s="18">
        <f t="shared" si="324"/>
        <v>0.34544598631227796</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-0.117653962991841-0.329394398239997i</v>
      </c>
      <c r="AD369" s="66">
        <f t="shared" si="330"/>
        <v>-9.1242043197108433</v>
      </c>
      <c r="AE369" s="63">
        <f t="shared" si="331"/>
        <v>-109.65584591644765</v>
      </c>
      <c r="AF369" s="51" t="e">
        <f t="shared" si="332"/>
        <v>#NUM!</v>
      </c>
      <c r="AG369" s="51" t="str">
        <f t="shared" si="314"/>
        <v>1-107.96286215906i</v>
      </c>
      <c r="AH369" s="51">
        <f t="shared" si="333"/>
        <v>107.96749328189568</v>
      </c>
      <c r="AI369" s="51">
        <f t="shared" si="334"/>
        <v>-1.5615341473393929</v>
      </c>
      <c r="AJ369" s="51" t="str">
        <f t="shared" si="315"/>
        <v>1+0.359876207196865i</v>
      </c>
      <c r="AK369" s="51">
        <f t="shared" si="335"/>
        <v>1.062784495796961</v>
      </c>
      <c r="AL369" s="51">
        <f t="shared" si="336"/>
        <v>0.34544598631227796</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0.123717617035205+0.0213867395690585i</v>
      </c>
      <c r="BG369" s="66">
        <f t="shared" si="352"/>
        <v>-18.023489635353716</v>
      </c>
      <c r="BH369" s="63">
        <f t="shared" si="353"/>
        <v>9.807643143454241</v>
      </c>
      <c r="BI369" s="60" t="e">
        <f t="shared" si="306"/>
        <v>#NUM!</v>
      </c>
      <c r="BJ369" s="66" t="e">
        <f t="shared" si="354"/>
        <v>#NUM!</v>
      </c>
      <c r="BK369" s="63" t="e">
        <f t="shared" si="307"/>
        <v>#NUM!</v>
      </c>
      <c r="BL369" s="51">
        <f t="shared" si="355"/>
        <v>-18.023489635353716</v>
      </c>
      <c r="BM369" s="63">
        <f t="shared" si="356"/>
        <v>9.807643143454241</v>
      </c>
    </row>
    <row r="370" spans="14:65" x14ac:dyDescent="0.3">
      <c r="N370" s="11">
        <v>52</v>
      </c>
      <c r="O370" s="52">
        <f t="shared" si="308"/>
        <v>33113.11214825909</v>
      </c>
      <c r="P370" s="50" t="str">
        <f t="shared" si="309"/>
        <v>23.3035714285714</v>
      </c>
      <c r="Q370" s="18" t="str">
        <f t="shared" si="310"/>
        <v>1+78.9126001956703i</v>
      </c>
      <c r="R370" s="18">
        <f t="shared" si="321"/>
        <v>78.918936065064273</v>
      </c>
      <c r="S370" s="18">
        <f t="shared" si="322"/>
        <v>1.5581247575643975</v>
      </c>
      <c r="T370" s="18" t="str">
        <f t="shared" si="311"/>
        <v>1+0.368258800913128i</v>
      </c>
      <c r="U370" s="18">
        <f t="shared" si="323"/>
        <v>1.0656521686037967</v>
      </c>
      <c r="V370" s="18">
        <f t="shared" si="324"/>
        <v>0.35284751964890304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-0.118135009345219-0.323014595548128i</v>
      </c>
      <c r="AD370" s="66">
        <f t="shared" si="330"/>
        <v>-9.270361469071565</v>
      </c>
      <c r="AE370" s="63">
        <f t="shared" si="331"/>
        <v>-110.08880719541094</v>
      </c>
      <c r="AF370" s="51" t="e">
        <f t="shared" si="332"/>
        <v>#NUM!</v>
      </c>
      <c r="AG370" s="51" t="str">
        <f t="shared" si="314"/>
        <v>1-110.477640273939i</v>
      </c>
      <c r="AH370" s="51">
        <f t="shared" si="333"/>
        <v>110.48216598391735</v>
      </c>
      <c r="AI370" s="51">
        <f t="shared" si="334"/>
        <v>-1.5617449686346105</v>
      </c>
      <c r="AJ370" s="51" t="str">
        <f t="shared" si="315"/>
        <v>1+0.368258800913128i</v>
      </c>
      <c r="AK370" s="51">
        <f t="shared" si="335"/>
        <v>1.0656521686037967</v>
      </c>
      <c r="AL370" s="51">
        <f t="shared" si="336"/>
        <v>0.35284751964890304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0.119943985488138+0.0186409910103352i</v>
      </c>
      <c r="BG370" s="66">
        <f t="shared" si="352"/>
        <v>-18.31677972688987</v>
      </c>
      <c r="BH370" s="63">
        <f t="shared" si="353"/>
        <v>8.8339031448342666</v>
      </c>
      <c r="BI370" s="60" t="e">
        <f t="shared" ref="BI370:BI433" si="357">IMPRODUCT(AP370,BC370)</f>
        <v>#NUM!</v>
      </c>
      <c r="BJ370" s="66" t="e">
        <f t="shared" si="354"/>
        <v>#NUM!</v>
      </c>
      <c r="BK370" s="63" t="e">
        <f t="shared" ref="BK370:BK433" si="358">(180/PI())*IMARGUMENT(BI370)</f>
        <v>#NUM!</v>
      </c>
      <c r="BL370" s="51">
        <f t="shared" si="355"/>
        <v>-18.31677972688987</v>
      </c>
      <c r="BM370" s="63">
        <f t="shared" si="356"/>
        <v>8.8339031448342666</v>
      </c>
    </row>
    <row r="371" spans="14:65" x14ac:dyDescent="0.3">
      <c r="N371" s="11">
        <v>53</v>
      </c>
      <c r="O371" s="52">
        <f t="shared" si="308"/>
        <v>33884.41561392029</v>
      </c>
      <c r="P371" s="50" t="str">
        <f t="shared" si="309"/>
        <v>23.3035714285714</v>
      </c>
      <c r="Q371" s="18" t="str">
        <f t="shared" si="310"/>
        <v>1+80.7507107828827i</v>
      </c>
      <c r="R371" s="18">
        <f t="shared" si="321"/>
        <v>80.756902441467929</v>
      </c>
      <c r="S371" s="18">
        <f t="shared" si="322"/>
        <v>1.5584131678657114</v>
      </c>
      <c r="T371" s="18" t="str">
        <f t="shared" si="311"/>
        <v>1+0.376836650320119i</v>
      </c>
      <c r="U371" s="18">
        <f t="shared" si="323"/>
        <v>1.068646742859626</v>
      </c>
      <c r="V371" s="18">
        <f t="shared" si="324"/>
        <v>0.36037991115157653</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-0.11862090812519-0.316799520794822i</v>
      </c>
      <c r="AD371" s="66">
        <f t="shared" si="330"/>
        <v>-9.4144926202506038</v>
      </c>
      <c r="AE371" s="63">
        <f t="shared" si="331"/>
        <v>-110.5276715355408</v>
      </c>
      <c r="AF371" s="51" t="e">
        <f t="shared" si="332"/>
        <v>#NUM!</v>
      </c>
      <c r="AG371" s="51" t="str">
        <f t="shared" si="314"/>
        <v>1-113.050995096036i</v>
      </c>
      <c r="AH371" s="51">
        <f t="shared" si="333"/>
        <v>113.05541779235506</v>
      </c>
      <c r="AI371" s="51">
        <f t="shared" si="334"/>
        <v>-1.561950991828752</v>
      </c>
      <c r="AJ371" s="51" t="str">
        <f t="shared" si="315"/>
        <v>1+0.376836650320119i</v>
      </c>
      <c r="AK371" s="51">
        <f t="shared" si="335"/>
        <v>1.068646742859626</v>
      </c>
      <c r="AL371" s="51">
        <f t="shared" si="336"/>
        <v>0.36037991115157653</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0.116254663297263+0.0160483142791602i</v>
      </c>
      <c r="BG371" s="66">
        <f t="shared" si="352"/>
        <v>-18.609810658893291</v>
      </c>
      <c r="BH371" s="63">
        <f t="shared" si="353"/>
        <v>7.8596916734031108</v>
      </c>
      <c r="BI371" s="60" t="e">
        <f t="shared" si="357"/>
        <v>#NUM!</v>
      </c>
      <c r="BJ371" s="66" t="e">
        <f t="shared" si="354"/>
        <v>#NUM!</v>
      </c>
      <c r="BK371" s="63" t="e">
        <f t="shared" si="358"/>
        <v>#NUM!</v>
      </c>
      <c r="BL371" s="51">
        <f t="shared" si="355"/>
        <v>-18.609810658893291</v>
      </c>
      <c r="BM371" s="63">
        <f t="shared" si="356"/>
        <v>7.8596916734031108</v>
      </c>
    </row>
    <row r="372" spans="14:65" x14ac:dyDescent="0.3">
      <c r="N372" s="11">
        <v>54</v>
      </c>
      <c r="O372" s="52">
        <f t="shared" si="308"/>
        <v>34673.685045253202</v>
      </c>
      <c r="P372" s="50" t="str">
        <f t="shared" si="309"/>
        <v>23.3035714285714</v>
      </c>
      <c r="Q372" s="18" t="str">
        <f t="shared" si="310"/>
        <v>1+82.6316364658135i</v>
      </c>
      <c r="R372" s="18">
        <f t="shared" si="321"/>
        <v>82.637687195482187</v>
      </c>
      <c r="S372" s="18">
        <f t="shared" si="322"/>
        <v>1.5586950151377987</v>
      </c>
      <c r="T372" s="18" t="str">
        <f t="shared" si="311"/>
        <v>1+0.38561430350713i</v>
      </c>
      <c r="U372" s="18">
        <f t="shared" si="323"/>
        <v>1.0717734793645946</v>
      </c>
      <c r="V372" s="18">
        <f t="shared" si="324"/>
        <v>0.36804373468262946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-0.119112489542201-0.310745487288409i</v>
      </c>
      <c r="AD372" s="66">
        <f t="shared" si="330"/>
        <v>-9.5565413565524722</v>
      </c>
      <c r="AE372" s="63">
        <f t="shared" si="331"/>
        <v>-110.9724301665532</v>
      </c>
      <c r="AF372" s="51" t="e">
        <f t="shared" si="332"/>
        <v>#NUM!</v>
      </c>
      <c r="AG372" s="51" t="str">
        <f t="shared" si="314"/>
        <v>1-115.684291052139i</v>
      </c>
      <c r="AH372" s="51">
        <f t="shared" si="333"/>
        <v>115.68861307940382</v>
      </c>
      <c r="AI372" s="51">
        <f t="shared" si="334"/>
        <v>-1.5621523260880432</v>
      </c>
      <c r="AJ372" s="51" t="str">
        <f t="shared" si="315"/>
        <v>1+0.38561430350713i</v>
      </c>
      <c r="AK372" s="51">
        <f t="shared" si="335"/>
        <v>1.0717734793645946</v>
      </c>
      <c r="AL372" s="51">
        <f t="shared" si="336"/>
        <v>0.36804373468262946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0.112650290787453+0.0136026581892029i</v>
      </c>
      <c r="BG372" s="66">
        <f t="shared" si="352"/>
        <v>-18.902487035730086</v>
      </c>
      <c r="BH372" s="63">
        <f t="shared" si="353"/>
        <v>6.8851994366680644</v>
      </c>
      <c r="BI372" s="60" t="e">
        <f t="shared" si="357"/>
        <v>#NUM!</v>
      </c>
      <c r="BJ372" s="66" t="e">
        <f t="shared" si="354"/>
        <v>#NUM!</v>
      </c>
      <c r="BK372" s="63" t="e">
        <f t="shared" si="358"/>
        <v>#NUM!</v>
      </c>
      <c r="BL372" s="51">
        <f t="shared" si="355"/>
        <v>-18.902487035730086</v>
      </c>
      <c r="BM372" s="63">
        <f t="shared" si="356"/>
        <v>6.8851994366680644</v>
      </c>
    </row>
    <row r="373" spans="14:65" x14ac:dyDescent="0.3">
      <c r="N373" s="11">
        <v>55</v>
      </c>
      <c r="O373" s="52">
        <f t="shared" si="308"/>
        <v>35481.33892335758</v>
      </c>
      <c r="P373" s="50" t="str">
        <f t="shared" si="309"/>
        <v>23.3035714285714</v>
      </c>
      <c r="Q373" s="18" t="str">
        <f t="shared" si="310"/>
        <v>1+84.5563745361581i</v>
      </c>
      <c r="R373" s="18">
        <f t="shared" si="321"/>
        <v>84.562287544147267</v>
      </c>
      <c r="S373" s="18">
        <f t="shared" si="322"/>
        <v>1.5589704486405962</v>
      </c>
      <c r="T373" s="18" t="str">
        <f t="shared" si="311"/>
        <v>1+0.394596414502071i</v>
      </c>
      <c r="U373" s="18">
        <f t="shared" si="323"/>
        <v>1.0750378273985945</v>
      </c>
      <c r="V373" s="18">
        <f t="shared" si="324"/>
        <v>0.37583945166429428</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-0.11961057870812-0.304848869239434i</v>
      </c>
      <c r="AD373" s="66">
        <f t="shared" si="330"/>
        <v>-9.6964512392861728</v>
      </c>
      <c r="AE373" s="63">
        <f t="shared" si="331"/>
        <v>-111.42306878774582</v>
      </c>
      <c r="AF373" s="51" t="e">
        <f t="shared" si="332"/>
        <v>#NUM!</v>
      </c>
      <c r="AG373" s="51" t="str">
        <f t="shared" si="314"/>
        <v>1-118.378924350622i</v>
      </c>
      <c r="AH373" s="51">
        <f t="shared" si="333"/>
        <v>118.38314800008608</v>
      </c>
      <c r="AI373" s="51">
        <f t="shared" si="334"/>
        <v>-1.5623490780972467</v>
      </c>
      <c r="AJ373" s="51" t="str">
        <f t="shared" si="315"/>
        <v>1+0.394596414502071i</v>
      </c>
      <c r="AK373" s="51">
        <f t="shared" si="335"/>
        <v>1.0750378273985945</v>
      </c>
      <c r="AL373" s="51">
        <f t="shared" si="336"/>
        <v>0.37583945166429428</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0.109131313570532+0.0112980492387378i</v>
      </c>
      <c r="BG373" s="66">
        <f t="shared" si="352"/>
        <v>-19.194712937922382</v>
      </c>
      <c r="BH373" s="63">
        <f t="shared" si="353"/>
        <v>5.910609977444417</v>
      </c>
      <c r="BI373" s="60" t="e">
        <f t="shared" si="357"/>
        <v>#NUM!</v>
      </c>
      <c r="BJ373" s="66" t="e">
        <f t="shared" si="354"/>
        <v>#NUM!</v>
      </c>
      <c r="BK373" s="63" t="e">
        <f t="shared" si="358"/>
        <v>#NUM!</v>
      </c>
      <c r="BL373" s="51">
        <f t="shared" si="355"/>
        <v>-19.194712937922382</v>
      </c>
      <c r="BM373" s="63">
        <f t="shared" si="356"/>
        <v>5.910609977444417</v>
      </c>
    </row>
    <row r="374" spans="14:65" x14ac:dyDescent="0.3">
      <c r="N374" s="11">
        <v>56</v>
      </c>
      <c r="O374" s="52">
        <f t="shared" si="308"/>
        <v>36307.805477010232</v>
      </c>
      <c r="P374" s="50" t="str">
        <f t="shared" si="309"/>
        <v>23.3035714285714</v>
      </c>
      <c r="Q374" s="18" t="str">
        <f t="shared" si="310"/>
        <v>1+86.5259455155173i</v>
      </c>
      <c r="R374" s="18">
        <f t="shared" si="321"/>
        <v>86.531723936104896</v>
      </c>
      <c r="S374" s="18">
        <f t="shared" si="322"/>
        <v>1.559239614245334</v>
      </c>
      <c r="T374" s="18" t="str">
        <f t="shared" si="311"/>
        <v>1+0.403787745739081i</v>
      </c>
      <c r="U374" s="18">
        <f t="shared" si="323"/>
        <v>1.0784454291289145</v>
      </c>
      <c r="V374" s="18">
        <f t="shared" si="324"/>
        <v>0.38376740429828504</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-0.120115996010652-0.299106098782757i</v>
      </c>
      <c r="AD374" s="66">
        <f t="shared" si="330"/>
        <v>-9.8341659382029007</v>
      </c>
      <c r="AE374" s="63">
        <f t="shared" si="331"/>
        <v>-111.87956756402876</v>
      </c>
      <c r="AF374" s="51" t="e">
        <f t="shared" si="332"/>
        <v>#NUM!</v>
      </c>
      <c r="AG374" s="51" t="str">
        <f t="shared" si="314"/>
        <v>1-121.136323721724i</v>
      </c>
      <c r="AH374" s="51">
        <f t="shared" si="333"/>
        <v>121.14045123250247</v>
      </c>
      <c r="AI374" s="51">
        <f t="shared" si="334"/>
        <v>-1.5625413521159144</v>
      </c>
      <c r="AJ374" s="51" t="str">
        <f t="shared" si="315"/>
        <v>1+0.403787745739081i</v>
      </c>
      <c r="AK374" s="51">
        <f t="shared" si="335"/>
        <v>1.0784454291289145</v>
      </c>
      <c r="AL374" s="51">
        <f t="shared" si="336"/>
        <v>0.38376740429828504</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0.105697988278681+0.0091286032577577i</v>
      </c>
      <c r="BG374" s="66">
        <f t="shared" si="352"/>
        <v>-19.48639215788711</v>
      </c>
      <c r="BH374" s="63">
        <f t="shared" si="353"/>
        <v>4.9360997790833183</v>
      </c>
      <c r="BI374" s="60" t="e">
        <f t="shared" si="357"/>
        <v>#NUM!</v>
      </c>
      <c r="BJ374" s="66" t="e">
        <f t="shared" si="354"/>
        <v>#NUM!</v>
      </c>
      <c r="BK374" s="63" t="e">
        <f t="shared" si="358"/>
        <v>#NUM!</v>
      </c>
      <c r="BL374" s="51">
        <f t="shared" si="355"/>
        <v>-19.48639215788711</v>
      </c>
      <c r="BM374" s="63">
        <f t="shared" si="356"/>
        <v>4.9360997790833183</v>
      </c>
    </row>
    <row r="375" spans="14:65" x14ac:dyDescent="0.3">
      <c r="N375" s="11">
        <v>57</v>
      </c>
      <c r="O375" s="52">
        <f t="shared" si="308"/>
        <v>37153.522909717351</v>
      </c>
      <c r="P375" s="50" t="str">
        <f t="shared" si="309"/>
        <v>23.3035714285714</v>
      </c>
      <c r="Q375" s="18" t="str">
        <f t="shared" si="310"/>
        <v>1+88.5413936964951i</v>
      </c>
      <c r="R375" s="18">
        <f t="shared" si="321"/>
        <v>88.547040592657552</v>
      </c>
      <c r="S375" s="18">
        <f t="shared" si="322"/>
        <v>1.5595026545110802</v>
      </c>
      <c r="T375" s="18" t="str">
        <f t="shared" si="311"/>
        <v>1+0.413193170583644i</v>
      </c>
      <c r="U375" s="18">
        <f t="shared" si="323"/>
        <v>1.0820021239429081</v>
      </c>
      <c r="V375" s="18">
        <f t="shared" si="324"/>
        <v>0.39182780872445927</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-0.120629557382114-0.293513663003131i</v>
      </c>
      <c r="AD375" s="66">
        <f t="shared" si="330"/>
        <v>-9.9696293697684872</v>
      </c>
      <c r="AE375" s="63">
        <f t="shared" si="331"/>
        <v>-112.34190114737305</v>
      </c>
      <c r="AF375" s="51" t="e">
        <f t="shared" si="332"/>
        <v>#NUM!</v>
      </c>
      <c r="AG375" s="51" t="str">
        <f t="shared" si="314"/>
        <v>1-123.957951175093i</v>
      </c>
      <c r="AH375" s="51">
        <f t="shared" si="333"/>
        <v>123.96198473534835</v>
      </c>
      <c r="AI375" s="51">
        <f t="shared" si="334"/>
        <v>-1.562729250033378</v>
      </c>
      <c r="AJ375" s="51" t="str">
        <f t="shared" si="315"/>
        <v>1+0.413193170583644i</v>
      </c>
      <c r="AK375" s="51">
        <f t="shared" si="335"/>
        <v>1.0820021239429081</v>
      </c>
      <c r="AL375" s="51">
        <f t="shared" si="336"/>
        <v>0.39182780872445927</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0.102350389111726+0.0070885362093725i</v>
      </c>
      <c r="BG375" s="66">
        <f t="shared" si="352"/>
        <v>-19.7774284400213</v>
      </c>
      <c r="BH375" s="63">
        <f t="shared" si="353"/>
        <v>3.9618383862959945</v>
      </c>
      <c r="BI375" s="60" t="e">
        <f t="shared" si="357"/>
        <v>#NUM!</v>
      </c>
      <c r="BJ375" s="66" t="e">
        <f t="shared" si="354"/>
        <v>#NUM!</v>
      </c>
      <c r="BK375" s="63" t="e">
        <f t="shared" si="358"/>
        <v>#NUM!</v>
      </c>
      <c r="BL375" s="51">
        <f t="shared" si="355"/>
        <v>-19.7774284400213</v>
      </c>
      <c r="BM375" s="63">
        <f t="shared" si="356"/>
        <v>3.9618383862959945</v>
      </c>
    </row>
    <row r="376" spans="14:65" x14ac:dyDescent="0.3">
      <c r="N376" s="11">
        <v>58</v>
      </c>
      <c r="O376" s="52">
        <f t="shared" si="308"/>
        <v>38018.939632056143</v>
      </c>
      <c r="P376" s="50" t="str">
        <f t="shared" si="309"/>
        <v>23.3035714285714</v>
      </c>
      <c r="Q376" s="18" t="str">
        <f t="shared" si="310"/>
        <v>1+90.6037876963948i</v>
      </c>
      <c r="R376" s="18">
        <f t="shared" si="321"/>
        <v>90.609306061427176</v>
      </c>
      <c r="S376" s="18">
        <f t="shared" si="322"/>
        <v>1.5597597087595834</v>
      </c>
      <c r="T376" s="18" t="str">
        <f t="shared" si="311"/>
        <v>1+0.422817675916509i</v>
      </c>
      <c r="U376" s="18">
        <f t="shared" si="323"/>
        <v>1.0857139526907804</v>
      </c>
      <c r="V376" s="18">
        <f t="shared" si="324"/>
        <v>0.40002074814728572</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-0.121152074458272-0.288068100966303i</v>
      </c>
      <c r="AD376" s="66">
        <f t="shared" si="330"/>
        <v>-10.102785843076639</v>
      </c>
      <c r="AE376" s="63">
        <f t="shared" si="331"/>
        <v>-112.81003872486794</v>
      </c>
      <c r="AF376" s="51" t="e">
        <f t="shared" si="332"/>
        <v>#NUM!</v>
      </c>
      <c r="AG376" s="51" t="str">
        <f t="shared" si="314"/>
        <v>1-126.845302774953i</v>
      </c>
      <c r="AH376" s="51">
        <f t="shared" si="333"/>
        <v>126.8492445230538</v>
      </c>
      <c r="AI376" s="51">
        <f t="shared" si="334"/>
        <v>-1.5629128714224989</v>
      </c>
      <c r="AJ376" s="51" t="str">
        <f t="shared" si="315"/>
        <v>1+0.422817675916509i</v>
      </c>
      <c r="AK376" s="51">
        <f t="shared" si="335"/>
        <v>1.0857139526907804</v>
      </c>
      <c r="AL376" s="51">
        <f t="shared" si="336"/>
        <v>0.40002074814728572</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0.0990884150923296+0.00517217410922057i</v>
      </c>
      <c r="BG376" s="66">
        <f t="shared" si="352"/>
        <v>-20.06772572457556</v>
      </c>
      <c r="BH376" s="63">
        <f t="shared" si="353"/>
        <v>2.9879885373894761</v>
      </c>
      <c r="BI376" s="60" t="e">
        <f t="shared" si="357"/>
        <v>#NUM!</v>
      </c>
      <c r="BJ376" s="66" t="e">
        <f t="shared" si="354"/>
        <v>#NUM!</v>
      </c>
      <c r="BK376" s="63" t="e">
        <f t="shared" si="358"/>
        <v>#NUM!</v>
      </c>
      <c r="BL376" s="51">
        <f t="shared" si="355"/>
        <v>-20.06772572457556</v>
      </c>
      <c r="BM376" s="63">
        <f t="shared" si="356"/>
        <v>2.9879885373894761</v>
      </c>
    </row>
    <row r="377" spans="14:65" x14ac:dyDescent="0.3">
      <c r="N377" s="11">
        <v>59</v>
      </c>
      <c r="O377" s="52">
        <f t="shared" si="308"/>
        <v>38904.514499428085</v>
      </c>
      <c r="P377" s="50" t="str">
        <f t="shared" si="309"/>
        <v>23.3035714285714</v>
      </c>
      <c r="Q377" s="18" t="str">
        <f t="shared" si="310"/>
        <v>1+92.714221023814i</v>
      </c>
      <c r="R377" s="18">
        <f t="shared" si="321"/>
        <v>92.71961378291347</v>
      </c>
      <c r="S377" s="18">
        <f t="shared" si="322"/>
        <v>1.5600109131484476</v>
      </c>
      <c r="T377" s="18" t="str">
        <f t="shared" si="311"/>
        <v>1+0.432666364777799i</v>
      </c>
      <c r="U377" s="18">
        <f t="shared" si="323"/>
        <v>1.0895871618232456</v>
      </c>
      <c r="V377" s="18">
        <f t="shared" si="324"/>
        <v>0.40834616596180967</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-0.121684354622782-0.282766000758154i</v>
      </c>
      <c r="AD377" s="66">
        <f t="shared" si="330"/>
        <v>-10.233580213138215</v>
      </c>
      <c r="AE377" s="63">
        <f t="shared" si="331"/>
        <v>-113.28394409438189</v>
      </c>
      <c r="AF377" s="51" t="e">
        <f t="shared" si="332"/>
        <v>#NUM!</v>
      </c>
      <c r="AG377" s="51" t="str">
        <f t="shared" si="314"/>
        <v>1-129.79990943334i</v>
      </c>
      <c r="AH377" s="51">
        <f t="shared" si="333"/>
        <v>129.80376145899342</v>
      </c>
      <c r="AI377" s="51">
        <f t="shared" si="334"/>
        <v>-1.5630923135922106</v>
      </c>
      <c r="AJ377" s="51" t="str">
        <f t="shared" si="315"/>
        <v>1+0.432666364777799i</v>
      </c>
      <c r="AK377" s="51">
        <f t="shared" si="335"/>
        <v>1.0895871618232456</v>
      </c>
      <c r="AL377" s="51">
        <f t="shared" si="336"/>
        <v>0.40834616596180967</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0.0959117979241492+0.00337396203843653i</v>
      </c>
      <c r="BG377" s="66">
        <f t="shared" si="352"/>
        <v>-20.357188394744735</v>
      </c>
      <c r="BH377" s="63">
        <f t="shared" si="353"/>
        <v>2.0147063038261961</v>
      </c>
      <c r="BI377" s="60" t="e">
        <f t="shared" si="357"/>
        <v>#NUM!</v>
      </c>
      <c r="BJ377" s="66" t="e">
        <f t="shared" si="354"/>
        <v>#NUM!</v>
      </c>
      <c r="BK377" s="63" t="e">
        <f t="shared" si="358"/>
        <v>#NUM!</v>
      </c>
      <c r="BL377" s="51">
        <f t="shared" si="355"/>
        <v>-20.357188394744735</v>
      </c>
      <c r="BM377" s="63">
        <f t="shared" si="356"/>
        <v>2.0147063038261961</v>
      </c>
    </row>
    <row r="378" spans="14:65" x14ac:dyDescent="0.3">
      <c r="N378" s="11">
        <v>60</v>
      </c>
      <c r="O378" s="52">
        <f t="shared" si="308"/>
        <v>39810.717055349742</v>
      </c>
      <c r="P378" s="50" t="str">
        <f t="shared" si="309"/>
        <v>23.3035714285714</v>
      </c>
      <c r="Q378" s="18" t="str">
        <f t="shared" si="310"/>
        <v>1+94.8738126584376i</v>
      </c>
      <c r="R378" s="18">
        <f t="shared" si="321"/>
        <v>94.879082670250952</v>
      </c>
      <c r="S378" s="18">
        <f t="shared" si="322"/>
        <v>1.5602564007426776</v>
      </c>
      <c r="T378" s="18" t="str">
        <f t="shared" si="311"/>
        <v>1+0.442744459072709i</v>
      </c>
      <c r="U378" s="18">
        <f t="shared" si="323"/>
        <v>1.093628207408526</v>
      </c>
      <c r="V378" s="18">
        <f t="shared" si="324"/>
        <v>0.41680385891372479</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-0.122227200932576-0.277603996534969i</v>
      </c>
      <c r="AD378" s="66">
        <f t="shared" si="330"/>
        <v>-10.361958041206575</v>
      </c>
      <c r="AE378" s="63">
        <f t="shared" si="331"/>
        <v>-113.76357576857653</v>
      </c>
      <c r="AF378" s="51" t="e">
        <f t="shared" si="332"/>
        <v>#NUM!</v>
      </c>
      <c r="AG378" s="51" t="str">
        <f t="shared" si="314"/>
        <v>1-132.823337721813i</v>
      </c>
      <c r="AH378" s="51">
        <f t="shared" si="333"/>
        <v>132.8271020671715</v>
      </c>
      <c r="AI378" s="51">
        <f t="shared" si="334"/>
        <v>-1.5632676716388765</v>
      </c>
      <c r="AJ378" s="51" t="str">
        <f t="shared" si="315"/>
        <v>1+0.442744459072709i</v>
      </c>
      <c r="AK378" s="51">
        <f t="shared" si="335"/>
        <v>1.093628207408526</v>
      </c>
      <c r="AL378" s="51">
        <f t="shared" si="336"/>
        <v>0.41680385891372479</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0.0928201103504548+0.00168847223687784i</v>
      </c>
      <c r="BG378" s="66">
        <f t="shared" si="352"/>
        <v>-20.645721526375862</v>
      </c>
      <c r="BH378" s="63">
        <f t="shared" si="353"/>
        <v>1.0421412332053321</v>
      </c>
      <c r="BI378" s="60" t="e">
        <f t="shared" si="357"/>
        <v>#NUM!</v>
      </c>
      <c r="BJ378" s="66" t="e">
        <f t="shared" si="354"/>
        <v>#NUM!</v>
      </c>
      <c r="BK378" s="63" t="e">
        <f t="shared" si="358"/>
        <v>#NUM!</v>
      </c>
      <c r="BL378" s="51">
        <f t="shared" si="355"/>
        <v>-20.645721526375862</v>
      </c>
      <c r="BM378" s="63">
        <f t="shared" si="356"/>
        <v>1.0421412332053321</v>
      </c>
    </row>
    <row r="379" spans="14:65" x14ac:dyDescent="0.3">
      <c r="N379" s="11">
        <v>61</v>
      </c>
      <c r="O379" s="52">
        <f t="shared" si="308"/>
        <v>40738.027780411358</v>
      </c>
      <c r="P379" s="50" t="str">
        <f t="shared" si="309"/>
        <v>23.3035714285714</v>
      </c>
      <c r="Q379" s="18" t="str">
        <f t="shared" si="310"/>
        <v>1+97.0837076443364i</v>
      </c>
      <c r="R379" s="18">
        <f t="shared" si="321"/>
        <v>97.088857702472652</v>
      </c>
      <c r="S379" s="18">
        <f t="shared" si="322"/>
        <v>1.5604963015846236</v>
      </c>
      <c r="T379" s="18" t="str">
        <f t="shared" si="311"/>
        <v>1+0.453057302340237i</v>
      </c>
      <c r="U379" s="18">
        <f t="shared" si="323"/>
        <v>1.0978437590130086</v>
      </c>
      <c r="V379" s="18">
        <f t="shared" si="324"/>
        <v>0.4253934703310896</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-0.122781411919407-0.272578765588633i</v>
      </c>
      <c r="AD379" s="66">
        <f t="shared" si="330"/>
        <v>-10.487865761718302</v>
      </c>
      <c r="AE379" s="63">
        <f t="shared" si="331"/>
        <v>-114.24888710774265</v>
      </c>
      <c r="AF379" s="51" t="e">
        <f t="shared" si="332"/>
        <v>#NUM!</v>
      </c>
      <c r="AG379" s="51" t="str">
        <f t="shared" si="314"/>
        <v>1-135.917190702071i</v>
      </c>
      <c r="AH379" s="51">
        <f t="shared" si="333"/>
        <v>135.92086936281396</v>
      </c>
      <c r="AI379" s="51">
        <f t="shared" si="334"/>
        <v>-1.5634390384964909</v>
      </c>
      <c r="AJ379" s="51" t="str">
        <f t="shared" si="315"/>
        <v>1+0.453057302340237i</v>
      </c>
      <c r="AK379" s="51">
        <f t="shared" si="335"/>
        <v>1.0978437590130086</v>
      </c>
      <c r="AL379" s="51">
        <f t="shared" si="336"/>
        <v>0.4253934703310896</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0.0898127749141182+0.000110411273653327i</v>
      </c>
      <c r="BG379" s="66">
        <f t="shared" si="352"/>
        <v>-20.933231139668077</v>
      </c>
      <c r="BH379" s="63">
        <f t="shared" si="353"/>
        <v>7.0436492026595882E-2</v>
      </c>
      <c r="BI379" s="60" t="e">
        <f t="shared" si="357"/>
        <v>#NUM!</v>
      </c>
      <c r="BJ379" s="66" t="e">
        <f t="shared" si="354"/>
        <v>#NUM!</v>
      </c>
      <c r="BK379" s="63" t="e">
        <f t="shared" si="358"/>
        <v>#NUM!</v>
      </c>
      <c r="BL379" s="51">
        <f t="shared" si="355"/>
        <v>-20.933231139668077</v>
      </c>
      <c r="BM379" s="63">
        <f t="shared" si="356"/>
        <v>7.0436492026595882E-2</v>
      </c>
    </row>
    <row r="380" spans="14:65" x14ac:dyDescent="0.3">
      <c r="N380" s="11">
        <v>62</v>
      </c>
      <c r="O380" s="52">
        <f t="shared" si="308"/>
        <v>41686.938347033625</v>
      </c>
      <c r="P380" s="50" t="str">
        <f t="shared" si="309"/>
        <v>23.3035714285714</v>
      </c>
      <c r="Q380" s="18" t="str">
        <f t="shared" si="310"/>
        <v>1+99.3450776970831i</v>
      </c>
      <c r="R380" s="18">
        <f t="shared" si="321"/>
        <v>99.350110531591639</v>
      </c>
      <c r="S380" s="18">
        <f t="shared" si="322"/>
        <v>1.5607307427623696</v>
      </c>
      <c r="T380" s="18" t="str">
        <f t="shared" si="311"/>
        <v>1+0.463610362586388i</v>
      </c>
      <c r="U380" s="18">
        <f t="shared" si="323"/>
        <v>1.1022407034298281</v>
      </c>
      <c r="V380" s="18">
        <f t="shared" si="324"/>
        <v>0.43411448346804593</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-0.123347781262693-0.267687025431207i</v>
      </c>
      <c r="AD380" s="66">
        <f t="shared" si="330"/>
        <v>-10.61125085534754</v>
      </c>
      <c r="AE380" s="63">
        <f t="shared" si="331"/>
        <v>-114.73982648162051</v>
      </c>
      <c r="AF380" s="51" t="e">
        <f t="shared" si="332"/>
        <v>#NUM!</v>
      </c>
      <c r="AG380" s="51" t="str">
        <f t="shared" si="314"/>
        <v>1-139.083108775917i</v>
      </c>
      <c r="AH380" s="51">
        <f t="shared" si="333"/>
        <v>139.0867037023078</v>
      </c>
      <c r="AI380" s="51">
        <f t="shared" si="334"/>
        <v>-1.563606504985747</v>
      </c>
      <c r="AJ380" s="51" t="str">
        <f t="shared" si="315"/>
        <v>1+0.463610362586388i</v>
      </c>
      <c r="AK380" s="51">
        <f t="shared" si="335"/>
        <v>1.1022407034298281</v>
      </c>
      <c r="AL380" s="51">
        <f t="shared" si="336"/>
        <v>0.43411448346804593</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0.0868890730242995-0.00136537369859367i</v>
      </c>
      <c r="BG380" s="66">
        <f t="shared" si="352"/>
        <v>-21.219624452204641</v>
      </c>
      <c r="BH380" s="63">
        <f t="shared" si="353"/>
        <v>-0.90027099509341846</v>
      </c>
      <c r="BI380" s="60" t="e">
        <f t="shared" si="357"/>
        <v>#NUM!</v>
      </c>
      <c r="BJ380" s="66" t="e">
        <f t="shared" si="354"/>
        <v>#NUM!</v>
      </c>
      <c r="BK380" s="63" t="e">
        <f t="shared" si="358"/>
        <v>#NUM!</v>
      </c>
      <c r="BL380" s="51">
        <f t="shared" si="355"/>
        <v>-21.219624452204641</v>
      </c>
      <c r="BM380" s="63">
        <f t="shared" si="356"/>
        <v>-0.90027099509341846</v>
      </c>
    </row>
    <row r="381" spans="14:65" x14ac:dyDescent="0.3">
      <c r="N381" s="11">
        <v>63</v>
      </c>
      <c r="O381" s="52">
        <f t="shared" si="308"/>
        <v>42657.951880159271</v>
      </c>
      <c r="P381" s="50" t="str">
        <f t="shared" si="309"/>
        <v>23.3035714285714</v>
      </c>
      <c r="Q381" s="18" t="str">
        <f t="shared" si="310"/>
        <v>1+101.659121825012i</v>
      </c>
      <c r="R381" s="18">
        <f t="shared" si="321"/>
        <v>101.6640401038274</v>
      </c>
      <c r="S381" s="18">
        <f t="shared" si="322"/>
        <v>1.5609598484765876</v>
      </c>
      <c r="T381" s="18" t="str">
        <f t="shared" si="311"/>
        <v>1+0.47440923518339i</v>
      </c>
      <c r="U381" s="18">
        <f t="shared" si="323"/>
        <v>1.1068261482397717</v>
      </c>
      <c r="V381" s="18">
        <f t="shared" si="324"/>
        <v>0.4429662150037153</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-0.12392709732878-0.262925530904057i</v>
      </c>
      <c r="AD381" s="66">
        <f t="shared" si="330"/>
        <v>-10.732062027589272</v>
      </c>
      <c r="AE381" s="63">
        <f t="shared" si="331"/>
        <v>-115.23633746002808</v>
      </c>
      <c r="AF381" s="51" t="e">
        <f t="shared" si="332"/>
        <v>#NUM!</v>
      </c>
      <c r="AG381" s="51" t="str">
        <f t="shared" si="314"/>
        <v>1-142.322770555017i</v>
      </c>
      <c r="AH381" s="51">
        <f t="shared" si="333"/>
        <v>142.32628365293607</v>
      </c>
      <c r="AI381" s="51">
        <f t="shared" si="334"/>
        <v>-1.5637701598619997</v>
      </c>
      <c r="AJ381" s="51" t="str">
        <f t="shared" si="315"/>
        <v>1+0.47440923518339i</v>
      </c>
      <c r="AK381" s="51">
        <f t="shared" si="335"/>
        <v>1.1068261482397717</v>
      </c>
      <c r="AL381" s="51">
        <f t="shared" si="336"/>
        <v>0.4429662150037153</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0.0840481542403167-0.00274388959071778i</v>
      </c>
      <c r="BG381" s="66">
        <f t="shared" si="352"/>
        <v>-21.504810132619752</v>
      </c>
      <c r="BH381" s="63">
        <f t="shared" si="353"/>
        <v>-1.8698504126937905</v>
      </c>
      <c r="BI381" s="60" t="e">
        <f t="shared" si="357"/>
        <v>#NUM!</v>
      </c>
      <c r="BJ381" s="66" t="e">
        <f t="shared" si="354"/>
        <v>#NUM!</v>
      </c>
      <c r="BK381" s="63" t="e">
        <f t="shared" si="358"/>
        <v>#NUM!</v>
      </c>
      <c r="BL381" s="51">
        <f t="shared" si="355"/>
        <v>-21.504810132619752</v>
      </c>
      <c r="BM381" s="63">
        <f t="shared" si="356"/>
        <v>-1.8698504126937905</v>
      </c>
    </row>
    <row r="382" spans="14:65" x14ac:dyDescent="0.3">
      <c r="N382" s="11">
        <v>64</v>
      </c>
      <c r="O382" s="52">
        <f t="shared" si="308"/>
        <v>43651.583224016598</v>
      </c>
      <c r="P382" s="50" t="str">
        <f t="shared" si="309"/>
        <v>23.3035714285714</v>
      </c>
      <c r="Q382" s="18" t="str">
        <f t="shared" si="310"/>
        <v>1+104.02706696495i</v>
      </c>
      <c r="R382" s="18">
        <f t="shared" si="321"/>
        <v>104.03187329530404</v>
      </c>
      <c r="S382" s="18">
        <f t="shared" si="322"/>
        <v>1.5611837401058999</v>
      </c>
      <c r="T382" s="18" t="str">
        <f t="shared" si="311"/>
        <v>1+0.485459645836435i</v>
      </c>
      <c r="U382" s="18">
        <f t="shared" si="323"/>
        <v>1.1116074251891432</v>
      </c>
      <c r="V382" s="18">
        <f t="shared" si="324"/>
        <v>0.45194780874200102</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-0.124520142571772-0.258291071317541i</v>
      </c>
      <c r="AD382" s="66">
        <f t="shared" si="330"/>
        <v>-10.850249392201313</v>
      </c>
      <c r="AE382" s="63">
        <f t="shared" si="331"/>
        <v>-115.73835903174538</v>
      </c>
      <c r="AF382" s="51" t="e">
        <f t="shared" si="332"/>
        <v>#NUM!</v>
      </c>
      <c r="AG382" s="51" t="str">
        <f t="shared" si="314"/>
        <v>1-145.637893750931i</v>
      </c>
      <c r="AH382" s="51">
        <f t="shared" si="333"/>
        <v>145.64132688288535</v>
      </c>
      <c r="AI382" s="51">
        <f t="shared" si="334"/>
        <v>-1.5639300898621455</v>
      </c>
      <c r="AJ382" s="51" t="str">
        <f t="shared" si="315"/>
        <v>1+0.485459645836435i</v>
      </c>
      <c r="AK382" s="51">
        <f t="shared" si="335"/>
        <v>1.1116074251891432</v>
      </c>
      <c r="AL382" s="51">
        <f t="shared" si="336"/>
        <v>0.45194780874200102</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0.0812890456889562-0.00402999290302124i</v>
      </c>
      <c r="BG382" s="66">
        <f t="shared" si="352"/>
        <v>-21.788698554162384</v>
      </c>
      <c r="BH382" s="63">
        <f t="shared" si="353"/>
        <v>-2.8381769307359179</v>
      </c>
      <c r="BI382" s="60" t="e">
        <f t="shared" si="357"/>
        <v>#NUM!</v>
      </c>
      <c r="BJ382" s="66" t="e">
        <f t="shared" si="354"/>
        <v>#NUM!</v>
      </c>
      <c r="BK382" s="63" t="e">
        <f t="shared" si="358"/>
        <v>#NUM!</v>
      </c>
      <c r="BL382" s="51">
        <f t="shared" si="355"/>
        <v>-21.788698554162384</v>
      </c>
      <c r="BM382" s="63">
        <f t="shared" si="356"/>
        <v>-2.8381769307359179</v>
      </c>
    </row>
    <row r="383" spans="14:65" x14ac:dyDescent="0.3">
      <c r="N383" s="11">
        <v>65</v>
      </c>
      <c r="O383" s="52">
        <f t="shared" si="308"/>
        <v>44668.359215096389</v>
      </c>
      <c r="P383" s="50" t="str">
        <f t="shared" si="309"/>
        <v>23.3035714285714</v>
      </c>
      <c r="Q383" s="18" t="str">
        <f t="shared" si="310"/>
        <v>1+106.450168632755i</v>
      </c>
      <c r="R383" s="18">
        <f t="shared" si="321"/>
        <v>106.45486556255648</v>
      </c>
      <c r="S383" s="18">
        <f t="shared" si="322"/>
        <v>1.5614025362707753</v>
      </c>
      <c r="T383" s="18" t="str">
        <f t="shared" si="311"/>
        <v>1+0.496767453619522i</v>
      </c>
      <c r="U383" s="18">
        <f t="shared" si="323"/>
        <v>1.1165920933696529</v>
      </c>
      <c r="V383" s="18">
        <f t="shared" si="324"/>
        <v>0.46105822956046583</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-0.125127692791186-0.253780467628017i</v>
      </c>
      <c r="AD383" s="66">
        <f t="shared" si="330"/>
        <v>-10.965764658752231</v>
      </c>
      <c r="AE383" s="63">
        <f t="shared" si="331"/>
        <v>-116.24582585071447</v>
      </c>
      <c r="AF383" s="51" t="e">
        <f t="shared" si="332"/>
        <v>#NUM!</v>
      </c>
      <c r="AG383" s="51" t="str">
        <f t="shared" si="314"/>
        <v>1-149.030236085857i</v>
      </c>
      <c r="AH383" s="51">
        <f t="shared" si="333"/>
        <v>149.03359107196698</v>
      </c>
      <c r="AI383" s="51">
        <f t="shared" si="334"/>
        <v>-1.5640863797504432</v>
      </c>
      <c r="AJ383" s="51" t="str">
        <f t="shared" si="315"/>
        <v>1+0.496767453619522i</v>
      </c>
      <c r="AK383" s="51">
        <f t="shared" si="335"/>
        <v>1.1165920933696529</v>
      </c>
      <c r="AL383" s="51">
        <f t="shared" si="336"/>
        <v>0.46105822956046583</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0.0786106615377159-0.00522838610126614i</v>
      </c>
      <c r="BG383" s="66">
        <f t="shared" si="352"/>
        <v>-22.071202047375568</v>
      </c>
      <c r="BH383" s="63">
        <f t="shared" si="353"/>
        <v>-3.8051315918897219</v>
      </c>
      <c r="BI383" s="60" t="e">
        <f t="shared" si="357"/>
        <v>#NUM!</v>
      </c>
      <c r="BJ383" s="66" t="e">
        <f t="shared" si="354"/>
        <v>#NUM!</v>
      </c>
      <c r="BK383" s="63" t="e">
        <f t="shared" si="358"/>
        <v>#NUM!</v>
      </c>
      <c r="BL383" s="51">
        <f t="shared" si="355"/>
        <v>-22.071202047375568</v>
      </c>
      <c r="BM383" s="63">
        <f t="shared" si="356"/>
        <v>-3.8051315918897219</v>
      </c>
    </row>
    <row r="384" spans="14:65" x14ac:dyDescent="0.3">
      <c r="N384" s="11">
        <v>66</v>
      </c>
      <c r="O384" s="52">
        <f t="shared" ref="O384:O418" si="359">10^(4+(N384/100))</f>
        <v>45708.818961487581</v>
      </c>
      <c r="P384" s="50" t="str">
        <f t="shared" si="309"/>
        <v>23.3035714285714</v>
      </c>
      <c r="Q384" s="18" t="str">
        <f t="shared" si="310"/>
        <v>1+108.929711589002i</v>
      </c>
      <c r="R384" s="18">
        <f t="shared" si="321"/>
        <v>108.93430160818565</v>
      </c>
      <c r="S384" s="18">
        <f t="shared" si="322"/>
        <v>1.561616352895995</v>
      </c>
      <c r="T384" s="18" t="str">
        <f t="shared" si="311"/>
        <v>1+0.50833865408201i</v>
      </c>
      <c r="U384" s="18">
        <f t="shared" si="323"/>
        <v>1.121787942186004</v>
      </c>
      <c r="V384" s="18">
        <f t="shared" si="324"/>
        <v>0.47029625765860938</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-0.125750516241943-0.249390569659891i</v>
      </c>
      <c r="AD384" s="66">
        <f t="shared" si="330"/>
        <v>-11.078561323436302</v>
      </c>
      <c r="AE384" s="63">
        <f t="shared" si="331"/>
        <v>-116.75866850820411</v>
      </c>
      <c r="AF384" s="51" t="e">
        <f t="shared" si="332"/>
        <v>#NUM!</v>
      </c>
      <c r="AG384" s="51" t="str">
        <f t="shared" si="314"/>
        <v>1-152.501596224603i</v>
      </c>
      <c r="AH384" s="51">
        <f t="shared" si="333"/>
        <v>152.5048748435664</v>
      </c>
      <c r="AI384" s="51">
        <f t="shared" si="334"/>
        <v>-1.5642391123633017</v>
      </c>
      <c r="AJ384" s="51" t="str">
        <f t="shared" si="315"/>
        <v>1+0.50833865408201i</v>
      </c>
      <c r="AK384" s="51">
        <f t="shared" si="335"/>
        <v>1.121787942186004</v>
      </c>
      <c r="AL384" s="51">
        <f t="shared" si="336"/>
        <v>0.47029625765860938</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0.0760118124530279-0.0063436148084252i</v>
      </c>
      <c r="BG384" s="66">
        <f t="shared" si="352"/>
        <v>-22.35223515106302</v>
      </c>
      <c r="BH384" s="63">
        <f t="shared" si="353"/>
        <v>-4.770601211337393</v>
      </c>
      <c r="BI384" s="60" t="e">
        <f t="shared" si="357"/>
        <v>#NUM!</v>
      </c>
      <c r="BJ384" s="66" t="e">
        <f t="shared" si="354"/>
        <v>#NUM!</v>
      </c>
      <c r="BK384" s="63" t="e">
        <f t="shared" si="358"/>
        <v>#NUM!</v>
      </c>
      <c r="BL384" s="51">
        <f t="shared" si="355"/>
        <v>-22.35223515106302</v>
      </c>
      <c r="BM384" s="63">
        <f t="shared" si="356"/>
        <v>-4.770601211337393</v>
      </c>
    </row>
    <row r="385" spans="14:65" x14ac:dyDescent="0.3">
      <c r="N385" s="11">
        <v>67</v>
      </c>
      <c r="O385" s="52">
        <f t="shared" si="359"/>
        <v>46773.514128719893</v>
      </c>
      <c r="P385" s="50" t="str">
        <f t="shared" si="309"/>
        <v>23.3035714285714</v>
      </c>
      <c r="Q385" s="18" t="str">
        <f t="shared" si="310"/>
        <v>1+111.46701052019i</v>
      </c>
      <c r="R385" s="18">
        <f t="shared" si="321"/>
        <v>111.47149606203439</v>
      </c>
      <c r="S385" s="18">
        <f t="shared" si="322"/>
        <v>1.5618253032717178</v>
      </c>
      <c r="T385" s="18" t="str">
        <f t="shared" si="311"/>
        <v>1+0.520179382427552i</v>
      </c>
      <c r="U385" s="18">
        <f t="shared" si="323"/>
        <v>1.1272029940976511</v>
      </c>
      <c r="V385" s="18">
        <f t="shared" si="324"/>
        <v>0.4796604831577479</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-0.126389372592415-0.245118253381178i</v>
      </c>
      <c r="AD385" s="66">
        <f t="shared" si="330"/>
        <v>-11.188594862240045</v>
      </c>
      <c r="AE385" s="63">
        <f t="shared" si="331"/>
        <v>-117.27681382915964</v>
      </c>
      <c r="AF385" s="51" t="e">
        <f t="shared" si="332"/>
        <v>#NUM!</v>
      </c>
      <c r="AG385" s="51" t="str">
        <f t="shared" si="314"/>
        <v>1-156.053814728266i</v>
      </c>
      <c r="AH385" s="51">
        <f t="shared" si="333"/>
        <v>156.05701871830041</v>
      </c>
      <c r="AI385" s="51">
        <f t="shared" si="334"/>
        <v>-1.5643883686530555</v>
      </c>
      <c r="AJ385" s="51" t="str">
        <f t="shared" si="315"/>
        <v>1+0.520179382427552i</v>
      </c>
      <c r="AK385" s="51">
        <f t="shared" si="335"/>
        <v>1.1272029940976511</v>
      </c>
      <c r="AL385" s="51">
        <f t="shared" si="336"/>
        <v>0.4796604831577479</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0.0734912149792363-0.007380065773368i</v>
      </c>
      <c r="BG385" s="66">
        <f t="shared" si="352"/>
        <v>-22.631714860668623</v>
      </c>
      <c r="BH385" s="63">
        <f t="shared" si="353"/>
        <v>-5.7344782900469617</v>
      </c>
      <c r="BI385" s="60" t="e">
        <f t="shared" si="357"/>
        <v>#NUM!</v>
      </c>
      <c r="BJ385" s="66" t="e">
        <f t="shared" si="354"/>
        <v>#NUM!</v>
      </c>
      <c r="BK385" s="63" t="e">
        <f t="shared" si="358"/>
        <v>#NUM!</v>
      </c>
      <c r="BL385" s="51">
        <f t="shared" si="355"/>
        <v>-22.631714860668623</v>
      </c>
      <c r="BM385" s="63">
        <f t="shared" si="356"/>
        <v>-5.7344782900469617</v>
      </c>
    </row>
    <row r="386" spans="14:65" x14ac:dyDescent="0.3">
      <c r="N386" s="11">
        <v>68</v>
      </c>
      <c r="O386" s="52">
        <f t="shared" si="359"/>
        <v>47863.009232263823</v>
      </c>
      <c r="P386" s="50" t="str">
        <f t="shared" si="309"/>
        <v>23.3035714285714</v>
      </c>
      <c r="Q386" s="18" t="str">
        <f t="shared" si="310"/>
        <v>1+114.063410735795i</v>
      </c>
      <c r="R386" s="18">
        <f t="shared" si="321"/>
        <v>114.06779417821086</v>
      </c>
      <c r="S386" s="18">
        <f t="shared" si="322"/>
        <v>1.5620294981131739</v>
      </c>
      <c r="T386" s="18" t="str">
        <f t="shared" si="311"/>
        <v>1+0.532295916767043i</v>
      </c>
      <c r="U386" s="18">
        <f t="shared" si="323"/>
        <v>1.1328455071221613</v>
      </c>
      <c r="V386" s="18">
        <f t="shared" si="324"/>
        <v>0.48914930110612914</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-0.127045011726701-0.240960418242119i</v>
      </c>
      <c r="AD386" s="66">
        <f t="shared" si="330"/>
        <v>-11.295822925462764</v>
      </c>
      <c r="AE386" s="63">
        <f t="shared" si="331"/>
        <v>-117.80018519052489</v>
      </c>
      <c r="AF386" s="51" t="e">
        <f t="shared" si="332"/>
        <v>#NUM!</v>
      </c>
      <c r="AG386" s="51" t="str">
        <f t="shared" si="314"/>
        <v>1-159.688775030113i</v>
      </c>
      <c r="AH386" s="51">
        <f t="shared" si="333"/>
        <v>159.69190608987682</v>
      </c>
      <c r="AI386" s="51">
        <f t="shared" si="334"/>
        <v>-1.564534227730749</v>
      </c>
      <c r="AJ386" s="51" t="str">
        <f t="shared" si="315"/>
        <v>1+0.532295916767043i</v>
      </c>
      <c r="AK386" s="51">
        <f t="shared" si="335"/>
        <v>1.1328455071221613</v>
      </c>
      <c r="AL386" s="51">
        <f t="shared" si="336"/>
        <v>0.48914930110612914</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0.0710475007809051-0.00834196557410709i</v>
      </c>
      <c r="BG386" s="66">
        <f t="shared" si="352"/>
        <v>-22.909560873146813</v>
      </c>
      <c r="BH386" s="63">
        <f t="shared" si="353"/>
        <v>-6.6966609418824348</v>
      </c>
      <c r="BI386" s="60" t="e">
        <f t="shared" si="357"/>
        <v>#NUM!</v>
      </c>
      <c r="BJ386" s="66" t="e">
        <f t="shared" si="354"/>
        <v>#NUM!</v>
      </c>
      <c r="BK386" s="63" t="e">
        <f t="shared" si="358"/>
        <v>#NUM!</v>
      </c>
      <c r="BL386" s="51">
        <f t="shared" si="355"/>
        <v>-22.909560873146813</v>
      </c>
      <c r="BM386" s="63">
        <f t="shared" si="356"/>
        <v>-6.6966609418824348</v>
      </c>
    </row>
    <row r="387" spans="14:65" x14ac:dyDescent="0.3">
      <c r="N387" s="11">
        <v>69</v>
      </c>
      <c r="O387" s="52">
        <f t="shared" si="359"/>
        <v>48977.881936844598</v>
      </c>
      <c r="P387" s="50" t="str">
        <f t="shared" si="309"/>
        <v>23.3035714285714</v>
      </c>
      <c r="Q387" s="18" t="str">
        <f t="shared" si="310"/>
        <v>1+116.72028888158i</v>
      </c>
      <c r="R387" s="18">
        <f t="shared" si="321"/>
        <v>116.72457254836912</v>
      </c>
      <c r="S387" s="18">
        <f t="shared" si="322"/>
        <v>1.56222904561902</v>
      </c>
      <c r="T387" s="18" t="str">
        <f t="shared" si="311"/>
        <v>1+0.544694681447374i</v>
      </c>
      <c r="U387" s="18">
        <f t="shared" si="323"/>
        <v>1.1387239770888538</v>
      </c>
      <c r="V387" s="18">
        <f t="shared" si="324"/>
        <v>0.49876090694408409</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-0.127718172387805-0.23691398458722i</v>
      </c>
      <c r="AD387" s="66">
        <f t="shared" si="330"/>
        <v>-11.400205532523424</v>
      </c>
      <c r="AE387" s="63">
        <f t="shared" si="331"/>
        <v>-118.32870285890169</v>
      </c>
      <c r="AF387" s="51" t="e">
        <f t="shared" si="332"/>
        <v>#NUM!</v>
      </c>
      <c r="AG387" s="51" t="str">
        <f t="shared" si="314"/>
        <v>1-163.408404434212i</v>
      </c>
      <c r="AH387" s="51">
        <f t="shared" si="333"/>
        <v>163.41146422370431</v>
      </c>
      <c r="AI387" s="51">
        <f t="shared" si="334"/>
        <v>-1.5646767669079569</v>
      </c>
      <c r="AJ387" s="51" t="str">
        <f t="shared" si="315"/>
        <v>1+0.544694681447374i</v>
      </c>
      <c r="AK387" s="51">
        <f t="shared" si="335"/>
        <v>1.1387239770888538</v>
      </c>
      <c r="AL387" s="51">
        <f t="shared" si="336"/>
        <v>0.49876090694408409</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0.0686792256977837-0.00923338001058035i</v>
      </c>
      <c r="BG387" s="66">
        <f t="shared" si="352"/>
        <v>-23.185695827355758</v>
      </c>
      <c r="BH387" s="63">
        <f t="shared" si="353"/>
        <v>-7.6570528343536113</v>
      </c>
      <c r="BI387" s="60" t="e">
        <f t="shared" si="357"/>
        <v>#NUM!</v>
      </c>
      <c r="BJ387" s="66" t="e">
        <f t="shared" si="354"/>
        <v>#NUM!</v>
      </c>
      <c r="BK387" s="63" t="e">
        <f t="shared" si="358"/>
        <v>#NUM!</v>
      </c>
      <c r="BL387" s="51">
        <f t="shared" si="355"/>
        <v>-23.185695827355758</v>
      </c>
      <c r="BM387" s="63">
        <f t="shared" si="356"/>
        <v>-7.6570528343536113</v>
      </c>
    </row>
    <row r="388" spans="14:65" x14ac:dyDescent="0.3">
      <c r="N388" s="11">
        <v>70</v>
      </c>
      <c r="O388" s="52">
        <f t="shared" si="359"/>
        <v>50118.723362727294</v>
      </c>
      <c r="P388" s="50" t="str">
        <f t="shared" si="309"/>
        <v>23.3035714285714</v>
      </c>
      <c r="Q388" s="18" t="str">
        <f t="shared" si="310"/>
        <v>1+119.439053669506i</v>
      </c>
      <c r="R388" s="18">
        <f t="shared" si="321"/>
        <v>119.44323983159168</v>
      </c>
      <c r="S388" s="18">
        <f t="shared" si="322"/>
        <v>1.562424051528382</v>
      </c>
      <c r="T388" s="18" t="str">
        <f t="shared" si="311"/>
        <v>1+0.557382250457697i</v>
      </c>
      <c r="U388" s="18">
        <f t="shared" si="323"/>
        <v>1.1448471396327489</v>
      </c>
      <c r="V388" s="18">
        <f t="shared" si="324"/>
        <v>0.50849329248450459</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-0.128409580658957-0.232975891152065i</v>
      </c>
      <c r="AD388" s="66">
        <f t="shared" si="330"/>
        <v>-11.501705265918554</v>
      </c>
      <c r="AE388" s="63">
        <f t="shared" si="331"/>
        <v>-118.86228434447835</v>
      </c>
      <c r="AF388" s="51" t="e">
        <f t="shared" si="332"/>
        <v>#NUM!</v>
      </c>
      <c r="AG388" s="51" t="str">
        <f t="shared" si="314"/>
        <v>1-167.214675137309i</v>
      </c>
      <c r="AH388" s="51">
        <f t="shared" si="333"/>
        <v>167.21766527874917</v>
      </c>
      <c r="AI388" s="51">
        <f t="shared" si="334"/>
        <v>-1.5648160617376559</v>
      </c>
      <c r="AJ388" s="51" t="str">
        <f t="shared" si="315"/>
        <v>1+0.557382250457697i</v>
      </c>
      <c r="AK388" s="51">
        <f t="shared" si="335"/>
        <v>1.1448471396327489</v>
      </c>
      <c r="AL388" s="51">
        <f t="shared" si="336"/>
        <v>0.50849329248450459</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0.0663848785683702-0.0100582141400637i</v>
      </c>
      <c r="BG388" s="66">
        <f t="shared" si="352"/>
        <v>-23.460045538961584</v>
      </c>
      <c r="BH388" s="63">
        <f t="shared" si="353"/>
        <v>-8.6155631422059304</v>
      </c>
      <c r="BI388" s="60" t="e">
        <f t="shared" si="357"/>
        <v>#NUM!</v>
      </c>
      <c r="BJ388" s="66" t="e">
        <f t="shared" si="354"/>
        <v>#NUM!</v>
      </c>
      <c r="BK388" s="63" t="e">
        <f t="shared" si="358"/>
        <v>#NUM!</v>
      </c>
      <c r="BL388" s="51">
        <f t="shared" si="355"/>
        <v>-23.460045538961584</v>
      </c>
      <c r="BM388" s="63">
        <f t="shared" si="356"/>
        <v>-8.6155631422059304</v>
      </c>
    </row>
    <row r="389" spans="14:65" x14ac:dyDescent="0.3">
      <c r="N389" s="11">
        <v>71</v>
      </c>
      <c r="O389" s="52">
        <f t="shared" si="359"/>
        <v>51286.138399136544</v>
      </c>
      <c r="P389" s="50" t="str">
        <f t="shared" si="309"/>
        <v>23.3035714285714</v>
      </c>
      <c r="Q389" s="18" t="str">
        <f t="shared" si="310"/>
        <v>1+122.221146624651i</v>
      </c>
      <c r="R389" s="18">
        <f t="shared" si="321"/>
        <v>122.22523750128056</v>
      </c>
      <c r="S389" s="18">
        <f t="shared" si="322"/>
        <v>1.5626146191766159</v>
      </c>
      <c r="T389" s="18" t="str">
        <f t="shared" si="311"/>
        <v>1+0.570365350915038i</v>
      </c>
      <c r="U389" s="18">
        <f t="shared" si="323"/>
        <v>1.1512239719205097</v>
      </c>
      <c r="V389" s="18">
        <f t="shared" si="324"/>
        <v>0.51834424246406663</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-0.129119948281151-0.229143092657199i</v>
      </c>
      <c r="AD389" s="66">
        <f t="shared" si="330"/>
        <v>-11.600287463134295</v>
      </c>
      <c r="AE389" s="63">
        <f t="shared" si="331"/>
        <v>-119.40084476777051</v>
      </c>
      <c r="AF389" s="51" t="e">
        <f t="shared" si="332"/>
        <v>#NUM!</v>
      </c>
      <c r="AG389" s="51" t="str">
        <f t="shared" si="314"/>
        <v>1-171.109605274512i</v>
      </c>
      <c r="AH389" s="51">
        <f t="shared" si="333"/>
        <v>171.11252735319908</v>
      </c>
      <c r="AI389" s="51">
        <f t="shared" si="334"/>
        <v>-1.564952186054174</v>
      </c>
      <c r="AJ389" s="51" t="str">
        <f t="shared" si="315"/>
        <v>1+0.570365350915038i</v>
      </c>
      <c r="AK389" s="51">
        <f t="shared" si="335"/>
        <v>1.1512239719205097</v>
      </c>
      <c r="AL389" s="51">
        <f t="shared" si="336"/>
        <v>0.51834424246406663</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0.0641628897843986-0.0108202129072381i</v>
      </c>
      <c r="BG389" s="66">
        <f t="shared" si="352"/>
        <v>-23.732539228802835</v>
      </c>
      <c r="BH389" s="63">
        <f t="shared" si="353"/>
        <v>-9.5721065125079612</v>
      </c>
      <c r="BI389" s="60" t="e">
        <f t="shared" si="357"/>
        <v>#NUM!</v>
      </c>
      <c r="BJ389" s="66" t="e">
        <f t="shared" si="354"/>
        <v>#NUM!</v>
      </c>
      <c r="BK389" s="63" t="e">
        <f t="shared" si="358"/>
        <v>#NUM!</v>
      </c>
      <c r="BL389" s="51">
        <f t="shared" si="355"/>
        <v>-23.732539228802835</v>
      </c>
      <c r="BM389" s="63">
        <f t="shared" si="356"/>
        <v>-9.5721065125079612</v>
      </c>
    </row>
    <row r="390" spans="14:65" x14ac:dyDescent="0.3">
      <c r="N390" s="11">
        <v>72</v>
      </c>
      <c r="O390" s="52">
        <f t="shared" si="359"/>
        <v>52480.746024977314</v>
      </c>
      <c r="P390" s="50" t="str">
        <f t="shared" si="309"/>
        <v>23.3035714285714</v>
      </c>
      <c r="Q390" s="18" t="str">
        <f t="shared" si="310"/>
        <v>1+125.068042849524i</v>
      </c>
      <c r="R390" s="18">
        <f t="shared" si="321"/>
        <v>125.07204060944385</v>
      </c>
      <c r="S390" s="18">
        <f t="shared" si="322"/>
        <v>1.562800849549814</v>
      </c>
      <c r="T390" s="18" t="str">
        <f t="shared" si="311"/>
        <v>1+0.583650866631111i</v>
      </c>
      <c r="U390" s="18">
        <f t="shared" si="323"/>
        <v>1.1578636941018778</v>
      </c>
      <c r="V390" s="18">
        <f t="shared" si="324"/>
        <v>0.52831133172006284</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-0.129849970805785-0.225412557512284i</v>
      </c>
      <c r="AD390" s="66">
        <f t="shared" si="330"/>
        <v>-11.695920405265166</v>
      </c>
      <c r="AE390" s="63">
        <f t="shared" si="331"/>
        <v>-119.94429723533329</v>
      </c>
      <c r="AF390" s="51" t="e">
        <f t="shared" si="332"/>
        <v>#NUM!</v>
      </c>
      <c r="AG390" s="51" t="str">
        <f t="shared" si="314"/>
        <v>1-175.095259989334i</v>
      </c>
      <c r="AH390" s="51">
        <f t="shared" si="333"/>
        <v>175.09811555448698</v>
      </c>
      <c r="AI390" s="51">
        <f t="shared" si="334"/>
        <v>-1.5650852120122354</v>
      </c>
      <c r="AJ390" s="51" t="str">
        <f t="shared" si="315"/>
        <v>1+0.583650866631111i</v>
      </c>
      <c r="AK390" s="51">
        <f t="shared" si="335"/>
        <v>1.1578636941018778</v>
      </c>
      <c r="AL390" s="51">
        <f t="shared" si="336"/>
        <v>0.52831133172006284</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0.0620116395446916-0.0115229623204881i</v>
      </c>
      <c r="BG390" s="66">
        <f t="shared" si="352"/>
        <v>-24.003109743628524</v>
      </c>
      <c r="BH390" s="63">
        <f t="shared" si="353"/>
        <v>-10.52660303933161</v>
      </c>
      <c r="BI390" s="60" t="e">
        <f t="shared" si="357"/>
        <v>#NUM!</v>
      </c>
      <c r="BJ390" s="66" t="e">
        <f t="shared" si="354"/>
        <v>#NUM!</v>
      </c>
      <c r="BK390" s="63" t="e">
        <f t="shared" si="358"/>
        <v>#NUM!</v>
      </c>
      <c r="BL390" s="51">
        <f t="shared" si="355"/>
        <v>-24.003109743628524</v>
      </c>
      <c r="BM390" s="63">
        <f t="shared" si="356"/>
        <v>-10.52660303933161</v>
      </c>
    </row>
    <row r="391" spans="14:65" x14ac:dyDescent="0.3">
      <c r="N391" s="11">
        <v>73</v>
      </c>
      <c r="O391" s="52">
        <f t="shared" si="359"/>
        <v>53703.179637025423</v>
      </c>
      <c r="P391" s="50" t="str">
        <f t="shared" si="309"/>
        <v>23.3035714285714</v>
      </c>
      <c r="Q391" s="18" t="str">
        <f t="shared" si="310"/>
        <v>1+127.981251806187i</v>
      </c>
      <c r="R391" s="18">
        <f t="shared" si="321"/>
        <v>127.98515856879126</v>
      </c>
      <c r="S391" s="18">
        <f t="shared" si="322"/>
        <v>1.5629828413380851</v>
      </c>
      <c r="T391" s="18" t="str">
        <f t="shared" si="311"/>
        <v>1+0.597245841762206i</v>
      </c>
      <c r="U391" s="18">
        <f t="shared" si="323"/>
        <v>1.1647757704821329</v>
      </c>
      <c r="V391" s="18">
        <f t="shared" si="324"/>
        <v>0.53839192304652306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-0.130600325582357-0.22178126564459i</v>
      </c>
      <c r="AD391" s="66">
        <f t="shared" si="330"/>
        <v>-11.788575501049438</v>
      </c>
      <c r="AE391" s="63">
        <f t="shared" si="331"/>
        <v>-120.49255322027842</v>
      </c>
      <c r="AF391" s="51" t="e">
        <f t="shared" si="332"/>
        <v>#NUM!</v>
      </c>
      <c r="AG391" s="51" t="str">
        <f t="shared" si="314"/>
        <v>1-179.173752528662i</v>
      </c>
      <c r="AH391" s="51">
        <f t="shared" si="333"/>
        <v>179.17654309424046</v>
      </c>
      <c r="AI391" s="51">
        <f t="shared" si="334"/>
        <v>-1.5652152101251207</v>
      </c>
      <c r="AJ391" s="51" t="str">
        <f t="shared" si="315"/>
        <v>1+0.597245841762206i</v>
      </c>
      <c r="AK391" s="51">
        <f t="shared" si="335"/>
        <v>1.1647757704821329</v>
      </c>
      <c r="AL391" s="51">
        <f t="shared" si="336"/>
        <v>0.53839192304652306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0.0599294657825838-0.0121698911262195i</v>
      </c>
      <c r="BG391" s="66">
        <f t="shared" si="352"/>
        <v>-24.27169376809475</v>
      </c>
      <c r="BH391" s="63">
        <f t="shared" si="353"/>
        <v>-11.478978245637997</v>
      </c>
      <c r="BI391" s="60" t="e">
        <f t="shared" si="357"/>
        <v>#NUM!</v>
      </c>
      <c r="BJ391" s="66" t="e">
        <f t="shared" si="354"/>
        <v>#NUM!</v>
      </c>
      <c r="BK391" s="63" t="e">
        <f t="shared" si="358"/>
        <v>#NUM!</v>
      </c>
      <c r="BL391" s="51">
        <f t="shared" si="355"/>
        <v>-24.27169376809475</v>
      </c>
      <c r="BM391" s="63">
        <f t="shared" si="356"/>
        <v>-11.478978245637997</v>
      </c>
    </row>
    <row r="392" spans="14:65" x14ac:dyDescent="0.3">
      <c r="N392" s="11">
        <v>74</v>
      </c>
      <c r="O392" s="52">
        <f t="shared" si="359"/>
        <v>54954.087385762505</v>
      </c>
      <c r="P392" s="50" t="str">
        <f t="shared" si="309"/>
        <v>23.3035714285714</v>
      </c>
      <c r="Q392" s="18" t="str">
        <f t="shared" si="310"/>
        <v>1+130.96231811659i</v>
      </c>
      <c r="R392" s="18">
        <f t="shared" si="321"/>
        <v>130.96613595304291</v>
      </c>
      <c r="S392" s="18">
        <f t="shared" si="322"/>
        <v>1.5631606909876345</v>
      </c>
      <c r="T392" s="18" t="str">
        <f t="shared" si="311"/>
        <v>1+0.611157484544085i</v>
      </c>
      <c r="U392" s="18">
        <f t="shared" si="323"/>
        <v>1.1719699104133405</v>
      </c>
      <c r="V392" s="18">
        <f t="shared" si="324"/>
        <v>0.5485831657814606</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-0.131371669582335-0.218246206466794i</v>
      </c>
      <c r="AD392" s="66">
        <f t="shared" si="330"/>
        <v>-11.878227464996929</v>
      </c>
      <c r="AE392" s="63">
        <f t="shared" si="331"/>
        <v>-121.04552294313361</v>
      </c>
      <c r="AF392" s="51" t="e">
        <f t="shared" si="332"/>
        <v>#NUM!</v>
      </c>
      <c r="AG392" s="51" t="str">
        <f t="shared" si="314"/>
        <v>1-183.347245363226i</v>
      </c>
      <c r="AH392" s="51">
        <f t="shared" si="333"/>
        <v>183.34997240873258</v>
      </c>
      <c r="AI392" s="51">
        <f t="shared" si="334"/>
        <v>-1.5653422493019651</v>
      </c>
      <c r="AJ392" s="51" t="str">
        <f t="shared" si="315"/>
        <v>1+0.611157484544085i</v>
      </c>
      <c r="AK392" s="51">
        <f t="shared" si="335"/>
        <v>1.1719699104133405</v>
      </c>
      <c r="AL392" s="51">
        <f t="shared" si="336"/>
        <v>0.5485831657814606</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0.0579146717465075-0.012764272933671i</v>
      </c>
      <c r="BG392" s="66">
        <f t="shared" si="352"/>
        <v>-24.538232026884028</v>
      </c>
      <c r="BH392" s="63">
        <f t="shared" si="353"/>
        <v>-12.429163069505538</v>
      </c>
      <c r="BI392" s="60" t="e">
        <f t="shared" si="357"/>
        <v>#NUM!</v>
      </c>
      <c r="BJ392" s="66" t="e">
        <f t="shared" si="354"/>
        <v>#NUM!</v>
      </c>
      <c r="BK392" s="63" t="e">
        <f t="shared" si="358"/>
        <v>#NUM!</v>
      </c>
      <c r="BL392" s="51">
        <f t="shared" si="355"/>
        <v>-24.538232026884028</v>
      </c>
      <c r="BM392" s="63">
        <f t="shared" si="356"/>
        <v>-12.429163069505538</v>
      </c>
    </row>
    <row r="393" spans="14:65" x14ac:dyDescent="0.3">
      <c r="N393" s="11">
        <v>75</v>
      </c>
      <c r="O393" s="52">
        <f t="shared" si="359"/>
        <v>56234.132519034953</v>
      </c>
      <c r="P393" s="50" t="str">
        <f t="shared" si="309"/>
        <v>23.3035714285714</v>
      </c>
      <c r="Q393" s="18" t="str">
        <f t="shared" si="310"/>
        <v>1+134.012822381549i</v>
      </c>
      <c r="R393" s="18">
        <f t="shared" si="321"/>
        <v>134.01655331588185</v>
      </c>
      <c r="S393" s="18">
        <f t="shared" si="322"/>
        <v>1.5633344927516712</v>
      </c>
      <c r="T393" s="18" t="str">
        <f t="shared" si="311"/>
        <v>1+0.625393171113895i</v>
      </c>
      <c r="U393" s="18">
        <f t="shared" si="323"/>
        <v>1.1794560689046005</v>
      </c>
      <c r="V393" s="18">
        <f t="shared" si="324"/>
        <v>0.55888199517454318</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-0.132164637061658-0.214804376999734i</v>
      </c>
      <c r="AD393" s="66">
        <f t="shared" si="330"/>
        <v>-11.964854488266409</v>
      </c>
      <c r="AE393" s="63">
        <f t="shared" si="331"/>
        <v>-121.60311574836481</v>
      </c>
      <c r="AF393" s="51" t="e">
        <f t="shared" si="332"/>
        <v>#NUM!</v>
      </c>
      <c r="AG393" s="51" t="str">
        <f t="shared" si="314"/>
        <v>1-187.617951334169i</v>
      </c>
      <c r="AH393" s="51">
        <f t="shared" si="333"/>
        <v>187.62061630543323</v>
      </c>
      <c r="AI393" s="51">
        <f t="shared" si="334"/>
        <v>-1.5654663968842097</v>
      </c>
      <c r="AJ393" s="51" t="str">
        <f t="shared" si="315"/>
        <v>1+0.625393171113895i</v>
      </c>
      <c r="AK393" s="51">
        <f t="shared" si="335"/>
        <v>1.1794560689046005</v>
      </c>
      <c r="AL393" s="51">
        <f t="shared" si="336"/>
        <v>0.55888199517454318</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0.0559655332183054-0.013309228743895i</v>
      </c>
      <c r="BG393" s="66">
        <f t="shared" si="352"/>
        <v>-24.802669475799068</v>
      </c>
      <c r="BH393" s="63">
        <f t="shared" si="353"/>
        <v>-13.377093851472697</v>
      </c>
      <c r="BI393" s="60" t="e">
        <f t="shared" si="357"/>
        <v>#NUM!</v>
      </c>
      <c r="BJ393" s="66" t="e">
        <f t="shared" si="354"/>
        <v>#NUM!</v>
      </c>
      <c r="BK393" s="63" t="e">
        <f t="shared" si="358"/>
        <v>#NUM!</v>
      </c>
      <c r="BL393" s="51">
        <f t="shared" si="355"/>
        <v>-24.802669475799068</v>
      </c>
      <c r="BM393" s="63">
        <f t="shared" si="356"/>
        <v>-13.377093851472697</v>
      </c>
    </row>
    <row r="394" spans="14:65" x14ac:dyDescent="0.3">
      <c r="N394" s="11">
        <v>76</v>
      </c>
      <c r="O394" s="52">
        <f t="shared" si="359"/>
        <v>57543.993733715732</v>
      </c>
      <c r="P394" s="50" t="str">
        <f t="shared" si="309"/>
        <v>23.3035714285714</v>
      </c>
      <c r="Q394" s="18" t="str">
        <f t="shared" si="310"/>
        <v>1+137.134382018804i</v>
      </c>
      <c r="R394" s="18">
        <f t="shared" si="321"/>
        <v>137.13802802898718</v>
      </c>
      <c r="S394" s="18">
        <f t="shared" si="322"/>
        <v>1.5635043387401666</v>
      </c>
      <c r="T394" s="18" t="str">
        <f t="shared" si="311"/>
        <v>1+0.639960449421087i</v>
      </c>
      <c r="U394" s="18">
        <f t="shared" si="323"/>
        <v>1.1872444469540548</v>
      </c>
      <c r="V394" s="18">
        <f t="shared" si="324"/>
        <v>0.56928513258113134</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-0.132979837065778-0.211452780166513i</v>
      </c>
      <c r="AD394" s="66">
        <f t="shared" si="330"/>
        <v>-12.048438400939652</v>
      </c>
      <c r="AE394" s="63">
        <f t="shared" si="331"/>
        <v>-122.16524047170762</v>
      </c>
      <c r="AF394" s="51" t="e">
        <f t="shared" si="332"/>
        <v>#NUM!</v>
      </c>
      <c r="AG394" s="51" t="str">
        <f t="shared" si="314"/>
        <v>1-191.988134826327i</v>
      </c>
      <c r="AH394" s="51">
        <f t="shared" si="333"/>
        <v>191.99073913627166</v>
      </c>
      <c r="AI394" s="51">
        <f t="shared" si="334"/>
        <v>-1.5655877186812299</v>
      </c>
      <c r="AJ394" s="51" t="str">
        <f t="shared" si="315"/>
        <v>1+0.639960449421087i</v>
      </c>
      <c r="AK394" s="51">
        <f t="shared" si="335"/>
        <v>1.1872444469540548</v>
      </c>
      <c r="AL394" s="51">
        <f t="shared" si="336"/>
        <v>0.56928513258113134</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0.0540803053583821-0.0138077298380969i</v>
      </c>
      <c r="BG394" s="66">
        <f t="shared" si="352"/>
        <v>-25.064955480680652</v>
      </c>
      <c r="BH394" s="63">
        <f t="shared" si="353"/>
        <v>-14.322712319415288</v>
      </c>
      <c r="BI394" s="60" t="e">
        <f t="shared" si="357"/>
        <v>#NUM!</v>
      </c>
      <c r="BJ394" s="66" t="e">
        <f t="shared" si="354"/>
        <v>#NUM!</v>
      </c>
      <c r="BK394" s="63" t="e">
        <f t="shared" si="358"/>
        <v>#NUM!</v>
      </c>
      <c r="BL394" s="51">
        <f t="shared" si="355"/>
        <v>-25.064955480680652</v>
      </c>
      <c r="BM394" s="63">
        <f t="shared" si="356"/>
        <v>-14.322712319415288</v>
      </c>
    </row>
    <row r="395" spans="14:65" x14ac:dyDescent="0.3">
      <c r="N395" s="11">
        <v>77</v>
      </c>
      <c r="O395" s="52">
        <f t="shared" si="359"/>
        <v>58884.365535558936</v>
      </c>
      <c r="P395" s="50" t="str">
        <f t="shared" si="309"/>
        <v>23.3035714285714</v>
      </c>
      <c r="Q395" s="18" t="str">
        <f t="shared" si="310"/>
        <v>1+140.328652120594i</v>
      </c>
      <c r="R395" s="18">
        <f t="shared" si="321"/>
        <v>140.33221513958472</v>
      </c>
      <c r="S395" s="18">
        <f t="shared" si="322"/>
        <v>1.563670318968492</v>
      </c>
      <c r="T395" s="18" t="str">
        <f t="shared" si="311"/>
        <v>1+0.654867043229441i</v>
      </c>
      <c r="U395" s="18">
        <f t="shared" si="323"/>
        <v>1.1953454916082089</v>
      </c>
      <c r="V395" s="18">
        <f t="shared" si="324"/>
        <v>0.57978908652461469</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-0.133817850782823-0.208188423274857i</v>
      </c>
      <c r="AD395" s="66">
        <f t="shared" si="330"/>
        <v>-12.128964824344495</v>
      </c>
      <c r="AE395" s="63">
        <f t="shared" si="331"/>
        <v>-122.73180579337922</v>
      </c>
      <c r="AF395" s="51" t="e">
        <f t="shared" si="332"/>
        <v>#NUM!</v>
      </c>
      <c r="AG395" s="51" t="str">
        <f t="shared" si="314"/>
        <v>1-196.460112968833i</v>
      </c>
      <c r="AH395" s="51">
        <f t="shared" si="333"/>
        <v>196.46265799822268</v>
      </c>
      <c r="AI395" s="51">
        <f t="shared" si="334"/>
        <v>-1.5657062790051541</v>
      </c>
      <c r="AJ395" s="51" t="str">
        <f t="shared" si="315"/>
        <v>1+0.654867043229441i</v>
      </c>
      <c r="AK395" s="51">
        <f t="shared" si="335"/>
        <v>1.1953454916082089</v>
      </c>
      <c r="AL395" s="51">
        <f t="shared" si="336"/>
        <v>0.57978908652461469</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0.0522572291709164-0.014262600982416i</v>
      </c>
      <c r="BG395" s="66">
        <f t="shared" si="352"/>
        <v>-25.325043983006044</v>
      </c>
      <c r="BH395" s="63">
        <f t="shared" si="353"/>
        <v>-15.265965567166925</v>
      </c>
      <c r="BI395" s="60" t="e">
        <f t="shared" si="357"/>
        <v>#NUM!</v>
      </c>
      <c r="BJ395" s="66" t="e">
        <f t="shared" si="354"/>
        <v>#NUM!</v>
      </c>
      <c r="BK395" s="63" t="e">
        <f t="shared" si="358"/>
        <v>#NUM!</v>
      </c>
      <c r="BL395" s="51">
        <f t="shared" si="355"/>
        <v>-25.325043983006044</v>
      </c>
      <c r="BM395" s="63">
        <f t="shared" si="356"/>
        <v>-15.265965567166925</v>
      </c>
    </row>
    <row r="396" spans="14:65" x14ac:dyDescent="0.3">
      <c r="N396" s="11">
        <v>78</v>
      </c>
      <c r="O396" s="52">
        <f t="shared" si="359"/>
        <v>60255.95860743591</v>
      </c>
      <c r="P396" s="50" t="str">
        <f t="shared" si="309"/>
        <v>23.3035714285714</v>
      </c>
      <c r="Q396" s="18" t="str">
        <f t="shared" si="310"/>
        <v>1+143.597326331208i</v>
      </c>
      <c r="R396" s="18">
        <f t="shared" si="321"/>
        <v>143.60080824797416</v>
      </c>
      <c r="S396" s="18">
        <f t="shared" si="322"/>
        <v>1.5638325214049589</v>
      </c>
      <c r="T396" s="18" t="str">
        <f t="shared" si="311"/>
        <v>1+0.670120856212306i</v>
      </c>
      <c r="U396" s="18">
        <f t="shared" si="323"/>
        <v>1.2037698957569565</v>
      </c>
      <c r="V396" s="18">
        <f t="shared" si="324"/>
        <v>0.59039015466412925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-0.134679228752229-0.205008316705103i</v>
      </c>
      <c r="AD396" s="66">
        <f t="shared" si="330"/>
        <v>-12.206423312096232</v>
      </c>
      <c r="AE396" s="63">
        <f t="shared" si="331"/>
        <v>-123.30272057223185</v>
      </c>
      <c r="AF396" s="51" t="e">
        <f t="shared" si="332"/>
        <v>#NUM!</v>
      </c>
      <c r="AG396" s="51" t="str">
        <f t="shared" si="314"/>
        <v>1-201.036256863692i</v>
      </c>
      <c r="AH396" s="51">
        <f t="shared" si="333"/>
        <v>201.03874396186507</v>
      </c>
      <c r="AI396" s="51">
        <f t="shared" si="334"/>
        <v>-1.5658221407048953</v>
      </c>
      <c r="AJ396" s="51" t="str">
        <f t="shared" si="315"/>
        <v>1+0.670120856212306i</v>
      </c>
      <c r="AK396" s="51">
        <f t="shared" si="335"/>
        <v>1.2037698957569565</v>
      </c>
      <c r="AL396" s="51">
        <f t="shared" si="336"/>
        <v>0.59039015466412925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0.0504945375860111-0.0146765239083133i</v>
      </c>
      <c r="BG396" s="66">
        <f t="shared" si="352"/>
        <v>-25.582893651045886</v>
      </c>
      <c r="BH396" s="63">
        <f t="shared" si="353"/>
        <v>-16.206806022920585</v>
      </c>
      <c r="BI396" s="60" t="e">
        <f t="shared" si="357"/>
        <v>#NUM!</v>
      </c>
      <c r="BJ396" s="66" t="e">
        <f t="shared" si="354"/>
        <v>#NUM!</v>
      </c>
      <c r="BK396" s="63" t="e">
        <f t="shared" si="358"/>
        <v>#NUM!</v>
      </c>
      <c r="BL396" s="51">
        <f t="shared" si="355"/>
        <v>-25.582893651045886</v>
      </c>
      <c r="BM396" s="63">
        <f t="shared" si="356"/>
        <v>-16.206806022920585</v>
      </c>
    </row>
    <row r="397" spans="14:65" x14ac:dyDescent="0.3">
      <c r="N397" s="11">
        <v>79</v>
      </c>
      <c r="O397" s="52">
        <f t="shared" si="359"/>
        <v>61659.500186148245</v>
      </c>
      <c r="P397" s="50" t="str">
        <f t="shared" si="309"/>
        <v>23.3035714285714</v>
      </c>
      <c r="Q397" s="18" t="str">
        <f t="shared" si="310"/>
        <v>1+146.942137744978i</v>
      </c>
      <c r="R397" s="18">
        <f t="shared" si="321"/>
        <v>146.94554040549883</v>
      </c>
      <c r="S397" s="18">
        <f t="shared" si="322"/>
        <v>1.5639910320172872</v>
      </c>
      <c r="T397" s="18" t="str">
        <f t="shared" si="311"/>
        <v>1+0.68572997614323i</v>
      </c>
      <c r="U397" s="18">
        <f t="shared" si="323"/>
        <v>1.2125285976756981</v>
      </c>
      <c r="V397" s="18">
        <f t="shared" si="324"/>
        <v>0.60108442669919115</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-0.13556448793812-0.201909472821406i</v>
      </c>
      <c r="AD397" s="66">
        <f t="shared" si="330"/>
        <v>-12.280807478560119</v>
      </c>
      <c r="AE397" s="63">
        <f t="shared" si="331"/>
        <v>-123.87789415599781</v>
      </c>
      <c r="AF397" s="51" t="e">
        <f t="shared" si="332"/>
        <v>#NUM!</v>
      </c>
      <c r="AG397" s="51" t="str">
        <f t="shared" si="314"/>
        <v>1-205.718992842969i</v>
      </c>
      <c r="AH397" s="51">
        <f t="shared" si="333"/>
        <v>205.72142332855256</v>
      </c>
      <c r="AI397" s="51">
        <f t="shared" si="334"/>
        <v>-1.5659353651994108</v>
      </c>
      <c r="AJ397" s="51" t="str">
        <f t="shared" si="315"/>
        <v>1+0.68572997614323i</v>
      </c>
      <c r="AK397" s="51">
        <f t="shared" si="335"/>
        <v>1.2125285976756981</v>
      </c>
      <c r="AL397" s="51">
        <f t="shared" si="336"/>
        <v>0.60108442669919115</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0.0487904611588851-0.0150520410300313i</v>
      </c>
      <c r="BG397" s="66">
        <f t="shared" si="352"/>
        <v>-25.838468015489603</v>
      </c>
      <c r="BH397" s="63">
        <f t="shared" si="353"/>
        <v>-17.145191403404091</v>
      </c>
      <c r="BI397" s="60" t="e">
        <f t="shared" si="357"/>
        <v>#NUM!</v>
      </c>
      <c r="BJ397" s="66" t="e">
        <f t="shared" si="354"/>
        <v>#NUM!</v>
      </c>
      <c r="BK397" s="63" t="e">
        <f t="shared" si="358"/>
        <v>#NUM!</v>
      </c>
      <c r="BL397" s="51">
        <f t="shared" si="355"/>
        <v>-25.838468015489603</v>
      </c>
      <c r="BM397" s="63">
        <f t="shared" si="356"/>
        <v>-17.145191403404091</v>
      </c>
    </row>
    <row r="398" spans="14:65" x14ac:dyDescent="0.3">
      <c r="N398" s="11">
        <v>80</v>
      </c>
      <c r="O398" s="52">
        <f t="shared" si="359"/>
        <v>63095.734448019342</v>
      </c>
      <c r="P398" s="50" t="str">
        <f t="shared" si="309"/>
        <v>23.3035714285714</v>
      </c>
      <c r="Q398" s="18" t="str">
        <f t="shared" si="310"/>
        <v>1+150.364859825189i</v>
      </c>
      <c r="R398" s="18">
        <f t="shared" si="321"/>
        <v>150.36818503343295</v>
      </c>
      <c r="S398" s="18">
        <f t="shared" si="322"/>
        <v>1.5641459348180216</v>
      </c>
      <c r="T398" s="18" t="str">
        <f t="shared" si="311"/>
        <v>1+0.701702679184215i</v>
      </c>
      <c r="U398" s="18">
        <f t="shared" si="323"/>
        <v>1.2216327803289766</v>
      </c>
      <c r="V398" s="18">
        <f t="shared" si="324"/>
        <v>0.61186778823650023</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-0.136474108678749-0.19888890512386i</v>
      </c>
      <c r="AD398" s="66">
        <f t="shared" si="330"/>
        <v>-12.352115113483944</v>
      </c>
      <c r="AE398" s="63">
        <f t="shared" si="331"/>
        <v>-124.4572366629462</v>
      </c>
      <c r="AF398" s="51" t="e">
        <f t="shared" si="332"/>
        <v>#NUM!</v>
      </c>
      <c r="AG398" s="51" t="str">
        <f t="shared" si="314"/>
        <v>1-210.510803755265i</v>
      </c>
      <c r="AH398" s="51">
        <f t="shared" si="333"/>
        <v>210.51317891687373</v>
      </c>
      <c r="AI398" s="51">
        <f t="shared" si="334"/>
        <v>-1.5660460125102071</v>
      </c>
      <c r="AJ398" s="51" t="str">
        <f t="shared" si="315"/>
        <v>1+0.701702679184215i</v>
      </c>
      <c r="AK398" s="51">
        <f t="shared" si="335"/>
        <v>1.2216327803289766</v>
      </c>
      <c r="AL398" s="51">
        <f t="shared" si="336"/>
        <v>0.61186778823650023</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0.0471432333890236-0.0153915593630015i</v>
      </c>
      <c r="BG398" s="66">
        <f t="shared" si="352"/>
        <v>-26.09173558849275</v>
      </c>
      <c r="BH398" s="63">
        <f t="shared" si="353"/>
        <v>-18.081084649859672</v>
      </c>
      <c r="BI398" s="60" t="e">
        <f t="shared" si="357"/>
        <v>#NUM!</v>
      </c>
      <c r="BJ398" s="66" t="e">
        <f t="shared" si="354"/>
        <v>#NUM!</v>
      </c>
      <c r="BK398" s="63" t="e">
        <f t="shared" si="358"/>
        <v>#NUM!</v>
      </c>
      <c r="BL398" s="51">
        <f t="shared" si="355"/>
        <v>-26.09173558849275</v>
      </c>
      <c r="BM398" s="63">
        <f t="shared" si="356"/>
        <v>-18.081084649859672</v>
      </c>
    </row>
    <row r="399" spans="14:65" x14ac:dyDescent="0.3">
      <c r="N399" s="11">
        <v>81</v>
      </c>
      <c r="O399" s="52">
        <f t="shared" si="359"/>
        <v>64565.422903465682</v>
      </c>
      <c r="P399" s="50" t="str">
        <f t="shared" si="309"/>
        <v>23.3035714285714</v>
      </c>
      <c r="Q399" s="18" t="str">
        <f t="shared" si="310"/>
        <v>1+153.867307344394i</v>
      </c>
      <c r="R399" s="18">
        <f t="shared" si="321"/>
        <v>153.87055686327452</v>
      </c>
      <c r="S399" s="18">
        <f t="shared" si="322"/>
        <v>1.5642973119089254</v>
      </c>
      <c r="T399" s="18" t="str">
        <f t="shared" si="311"/>
        <v>1+0.718047434273839i</v>
      </c>
      <c r="U399" s="18">
        <f t="shared" si="323"/>
        <v>1.2310938704531198</v>
      </c>
      <c r="V399" s="18">
        <f t="shared" si="324"/>
        <v>0.62273592563717861</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-0.137408531525572-0.195943627659076i</v>
      </c>
      <c r="AD399" s="66">
        <f t="shared" si="330"/>
        <v>-12.420348281609307</v>
      </c>
      <c r="AE399" s="63">
        <f t="shared" si="331"/>
        <v>-125.04065923055718</v>
      </c>
      <c r="AF399" s="51" t="e">
        <f t="shared" si="332"/>
        <v>#NUM!</v>
      </c>
      <c r="AG399" s="51" t="str">
        <f t="shared" si="314"/>
        <v>1-215.414230282152i</v>
      </c>
      <c r="AH399" s="51">
        <f t="shared" si="333"/>
        <v>215.41655137907117</v>
      </c>
      <c r="AI399" s="51">
        <f t="shared" si="334"/>
        <v>-1.5661541412931104</v>
      </c>
      <c r="AJ399" s="51" t="str">
        <f t="shared" si="315"/>
        <v>1+0.718047434273839i</v>
      </c>
      <c r="AK399" s="51">
        <f t="shared" si="335"/>
        <v>1.2310938704531198</v>
      </c>
      <c r="AL399" s="51">
        <f t="shared" si="336"/>
        <v>0.62273592563717861</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0.0455510956645833-0.0156973546095732i</v>
      </c>
      <c r="BG399" s="66">
        <f t="shared" si="352"/>
        <v>-26.342669965159601</v>
      </c>
      <c r="BH399" s="63">
        <f t="shared" si="353"/>
        <v>-19.014453842016394</v>
      </c>
      <c r="BI399" s="60" t="e">
        <f t="shared" si="357"/>
        <v>#NUM!</v>
      </c>
      <c r="BJ399" s="66" t="e">
        <f t="shared" si="354"/>
        <v>#NUM!</v>
      </c>
      <c r="BK399" s="63" t="e">
        <f t="shared" si="358"/>
        <v>#NUM!</v>
      </c>
      <c r="BL399" s="51">
        <f t="shared" si="355"/>
        <v>-26.342669965159601</v>
      </c>
      <c r="BM399" s="63">
        <f t="shared" si="356"/>
        <v>-19.014453842016394</v>
      </c>
    </row>
    <row r="400" spans="14:65" x14ac:dyDescent="0.3">
      <c r="N400" s="11">
        <v>82</v>
      </c>
      <c r="O400" s="52">
        <f t="shared" si="359"/>
        <v>66069.344800759733</v>
      </c>
      <c r="P400" s="50" t="str">
        <f t="shared" si="309"/>
        <v>23.3035714285714</v>
      </c>
      <c r="Q400" s="18" t="str">
        <f t="shared" si="310"/>
        <v>1+157.451337346628i</v>
      </c>
      <c r="R400" s="18">
        <f t="shared" si="321"/>
        <v>157.45451289893745</v>
      </c>
      <c r="S400" s="18">
        <f t="shared" si="322"/>
        <v>1.5644452435243696</v>
      </c>
      <c r="T400" s="18" t="str">
        <f t="shared" si="311"/>
        <v>1+0.734772907617596i</v>
      </c>
      <c r="U400" s="18">
        <f t="shared" si="323"/>
        <v>1.2409235374384742</v>
      </c>
      <c r="V400" s="18">
        <f t="shared" si="324"/>
        <v>0.63368433185516082</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-0.138368153987683-0.193070654706366i</v>
      </c>
      <c r="AD400" s="66">
        <f t="shared" si="330"/>
        <v>-12.48551340614827</v>
      </c>
      <c r="AE400" s="63">
        <f t="shared" si="331"/>
        <v>-125.62807422716619</v>
      </c>
      <c r="AF400" s="51" t="e">
        <f t="shared" si="332"/>
        <v>#NUM!</v>
      </c>
      <c r="AG400" s="51" t="str">
        <f t="shared" si="314"/>
        <v>1-220.431872285279i</v>
      </c>
      <c r="AH400" s="51">
        <f t="shared" si="333"/>
        <v>220.43414054813186</v>
      </c>
      <c r="AI400" s="51">
        <f t="shared" si="334"/>
        <v>-1.5662598088693123</v>
      </c>
      <c r="AJ400" s="51" t="str">
        <f t="shared" si="315"/>
        <v>1+0.734772907617596i</v>
      </c>
      <c r="AK400" s="51">
        <f t="shared" si="335"/>
        <v>1.2409235374384742</v>
      </c>
      <c r="AL400" s="51">
        <f t="shared" si="336"/>
        <v>0.63368433185516082</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0.044012301839373-0.015971575380947i</v>
      </c>
      <c r="BG400" s="66">
        <f t="shared" si="352"/>
        <v>-26.591249906543428</v>
      </c>
      <c r="BH400" s="63">
        <f t="shared" si="353"/>
        <v>-19.945272086478976</v>
      </c>
      <c r="BI400" s="60" t="e">
        <f t="shared" si="357"/>
        <v>#NUM!</v>
      </c>
      <c r="BJ400" s="66" t="e">
        <f t="shared" si="354"/>
        <v>#NUM!</v>
      </c>
      <c r="BK400" s="63" t="e">
        <f t="shared" si="358"/>
        <v>#NUM!</v>
      </c>
      <c r="BL400" s="51">
        <f t="shared" si="355"/>
        <v>-26.591249906543428</v>
      </c>
      <c r="BM400" s="63">
        <f t="shared" si="356"/>
        <v>-19.945272086478976</v>
      </c>
    </row>
    <row r="401" spans="14:65" x14ac:dyDescent="0.3">
      <c r="N401" s="11">
        <v>83</v>
      </c>
      <c r="O401" s="52">
        <f t="shared" si="359"/>
        <v>67608.297539198305</v>
      </c>
      <c r="P401" s="50" t="str">
        <f t="shared" si="309"/>
        <v>23.3035714285714</v>
      </c>
      <c r="Q401" s="18" t="str">
        <f t="shared" si="310"/>
        <v>1+161.118850132037i</v>
      </c>
      <c r="R401" s="18">
        <f t="shared" si="321"/>
        <v>161.12195340135932</v>
      </c>
      <c r="S401" s="18">
        <f t="shared" si="322"/>
        <v>1.5645898080737415</v>
      </c>
      <c r="T401" s="18" t="str">
        <f t="shared" si="311"/>
        <v>1+0.75188796728284i</v>
      </c>
      <c r="U401" s="18">
        <f t="shared" si="323"/>
        <v>1.2511336920348366</v>
      </c>
      <c r="V401" s="18">
        <f t="shared" si="324"/>
        <v>0.64470831326930722</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-0.139353327199825-0.190267000756032i</v>
      </c>
      <c r="AD401" s="66">
        <f t="shared" si="330"/>
        <v>-12.547621335098981</v>
      </c>
      <c r="AE401" s="63">
        <f t="shared" si="331"/>
        <v>-126.21939542301259</v>
      </c>
      <c r="AF401" s="51" t="e">
        <f t="shared" si="332"/>
        <v>#NUM!</v>
      </c>
      <c r="AG401" s="51" t="str">
        <f t="shared" si="314"/>
        <v>1-225.566390184852i</v>
      </c>
      <c r="AH401" s="51">
        <f t="shared" si="333"/>
        <v>225.56860681625204</v>
      </c>
      <c r="AI401" s="51">
        <f t="shared" si="334"/>
        <v>-1.5663630712557166</v>
      </c>
      <c r="AJ401" s="51" t="str">
        <f t="shared" si="315"/>
        <v>1+0.75188796728284i</v>
      </c>
      <c r="AK401" s="51">
        <f t="shared" si="335"/>
        <v>1.2511336920348366</v>
      </c>
      <c r="AL401" s="51">
        <f t="shared" si="336"/>
        <v>0.64470831326930722</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0.0425251224513528-0.0162162475267168i</v>
      </c>
      <c r="BG401" s="66">
        <f t="shared" si="352"/>
        <v>-26.837459403333956</v>
      </c>
      <c r="BH401" s="63">
        <f t="shared" si="353"/>
        <v>-20.873517376328717</v>
      </c>
      <c r="BI401" s="60" t="e">
        <f t="shared" si="357"/>
        <v>#NUM!</v>
      </c>
      <c r="BJ401" s="66" t="e">
        <f t="shared" si="354"/>
        <v>#NUM!</v>
      </c>
      <c r="BK401" s="63" t="e">
        <f t="shared" si="358"/>
        <v>#NUM!</v>
      </c>
      <c r="BL401" s="51">
        <f t="shared" si="355"/>
        <v>-26.837459403333956</v>
      </c>
      <c r="BM401" s="63">
        <f t="shared" si="356"/>
        <v>-20.873517376328717</v>
      </c>
    </row>
    <row r="402" spans="14:65" x14ac:dyDescent="0.3">
      <c r="N402" s="11">
        <v>84</v>
      </c>
      <c r="O402" s="52">
        <f t="shared" si="359"/>
        <v>69183.097091893651</v>
      </c>
      <c r="P402" s="50" t="str">
        <f t="shared" si="309"/>
        <v>23.3035714285714</v>
      </c>
      <c r="Q402" s="18" t="str">
        <f t="shared" si="310"/>
        <v>1+164.871790264446i</v>
      </c>
      <c r="R402" s="18">
        <f t="shared" si="321"/>
        <v>164.87482289604884</v>
      </c>
      <c r="S402" s="18">
        <f t="shared" si="322"/>
        <v>1.5647310821828948</v>
      </c>
      <c r="T402" s="18" t="str">
        <f t="shared" si="311"/>
        <v>1+0.769401687900748i</v>
      </c>
      <c r="U402" s="18">
        <f t="shared" si="323"/>
        <v>1.2617364849066228</v>
      </c>
      <c r="V402" s="18">
        <f t="shared" si="324"/>
        <v>0.6558029975031997</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-0.140364352534513-0.187529680795335i</v>
      </c>
      <c r="AD402" s="66">
        <f t="shared" si="330"/>
        <v>-12.606687389477909</v>
      </c>
      <c r="AE402" s="63">
        <f t="shared" si="331"/>
        <v>-126.81453811765633</v>
      </c>
      <c r="AF402" s="51" t="e">
        <f t="shared" si="332"/>
        <v>#NUM!</v>
      </c>
      <c r="AG402" s="51" t="str">
        <f t="shared" si="314"/>
        <v>1-230.820506370225i</v>
      </c>
      <c r="AH402" s="51">
        <f t="shared" si="333"/>
        <v>230.82267254541327</v>
      </c>
      <c r="AI402" s="51">
        <f t="shared" si="334"/>
        <v>-1.5664639831945932</v>
      </c>
      <c r="AJ402" s="51" t="str">
        <f t="shared" si="315"/>
        <v>1+0.769401687900748i</v>
      </c>
      <c r="AK402" s="51">
        <f t="shared" si="335"/>
        <v>1.2617364849066228</v>
      </c>
      <c r="AL402" s="51">
        <f t="shared" si="336"/>
        <v>0.6558029975031997</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0.0410878485929313-0.0164332785458787i</v>
      </c>
      <c r="BG402" s="66">
        <f t="shared" si="352"/>
        <v>-27.081287719494291</v>
      </c>
      <c r="BH402" s="63">
        <f t="shared" si="353"/>
        <v>-21.799172419163579</v>
      </c>
      <c r="BI402" s="60" t="e">
        <f t="shared" si="357"/>
        <v>#NUM!</v>
      </c>
      <c r="BJ402" s="66" t="e">
        <f t="shared" si="354"/>
        <v>#NUM!</v>
      </c>
      <c r="BK402" s="63" t="e">
        <f t="shared" si="358"/>
        <v>#NUM!</v>
      </c>
      <c r="BL402" s="51">
        <f t="shared" si="355"/>
        <v>-27.081287719494291</v>
      </c>
      <c r="BM402" s="63">
        <f t="shared" si="356"/>
        <v>-21.799172419163579</v>
      </c>
    </row>
    <row r="403" spans="14:65" x14ac:dyDescent="0.3">
      <c r="N403" s="11">
        <v>85</v>
      </c>
      <c r="O403" s="52">
        <f t="shared" si="359"/>
        <v>70794.578438413781</v>
      </c>
      <c r="P403" s="50" t="str">
        <f t="shared" ref="P403:P466" si="360">COMPLEX(Adc,0)</f>
        <v>23.3035714285714</v>
      </c>
      <c r="Q403" s="18" t="str">
        <f t="shared" ref="Q403:Q466" si="361">IMSUM(COMPLEX(1,0),IMDIV(COMPLEX(0,2*PI()*O403),COMPLEX(wp_lf,0)))</f>
        <v>1+168.71214760239i</v>
      </c>
      <c r="R403" s="18">
        <f t="shared" si="321"/>
        <v>168.71511120409644</v>
      </c>
      <c r="S403" s="18">
        <f t="shared" si="322"/>
        <v>1.5648691407346624</v>
      </c>
      <c r="T403" s="18" t="str">
        <f t="shared" ref="T403:T466" si="362">IMSUM(COMPLEX(1,0),IMDIV(COMPLEX(0,2*PI()*O403),COMPLEX(wz_esr,0)))</f>
        <v>1+0.787323355477819i</v>
      </c>
      <c r="U403" s="18">
        <f t="shared" si="323"/>
        <v>1.2727443050671459</v>
      </c>
      <c r="V403" s="18">
        <f t="shared" si="324"/>
        <v>0.66696334221766085</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-0.141401478181225-0.184855710916412i</v>
      </c>
      <c r="AD403" s="66">
        <f t="shared" si="330"/>
        <v>-12.6627313926639</v>
      </c>
      <c r="AE403" s="63">
        <f t="shared" si="331"/>
        <v>-127.41341922136186</v>
      </c>
      <c r="AF403" s="51" t="e">
        <f t="shared" si="332"/>
        <v>#NUM!</v>
      </c>
      <c r="AG403" s="51" t="str">
        <f t="shared" ref="AG403:AG466" si="365">IMSUM(COMPLEX(1,0),IMDIV(COMPLEX(0,2*PI()*O403),COMPLEX(wp_lf_DCM,0)))</f>
        <v>1-236.197006643346i</v>
      </c>
      <c r="AH403" s="51">
        <f t="shared" si="333"/>
        <v>236.19912351081413</v>
      </c>
      <c r="AI403" s="51">
        <f t="shared" si="334"/>
        <v>-1.5665625981825628</v>
      </c>
      <c r="AJ403" s="51" t="str">
        <f t="shared" ref="AJ403:AJ466" si="366">IMSUM(COMPLEX(1,0),IMDIV(COMPLEX(0,2*PI()*O403),COMPLEX(wz1_dcm,0)))</f>
        <v>1+0.787323355477819i</v>
      </c>
      <c r="AK403" s="51">
        <f t="shared" si="335"/>
        <v>1.2727443050671459</v>
      </c>
      <c r="AL403" s="51">
        <f t="shared" si="336"/>
        <v>0.66696334221766085</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0.0396987954443151-0.0166244620555491i</v>
      </c>
      <c r="BG403" s="66">
        <f t="shared" si="352"/>
        <v>-27.322729415223499</v>
      </c>
      <c r="BH403" s="63">
        <f t="shared" si="353"/>
        <v>-22.722224431351897</v>
      </c>
      <c r="BI403" s="60" t="e">
        <f t="shared" si="357"/>
        <v>#NUM!</v>
      </c>
      <c r="BJ403" s="66" t="e">
        <f t="shared" si="354"/>
        <v>#NUM!</v>
      </c>
      <c r="BK403" s="63" t="e">
        <f t="shared" si="358"/>
        <v>#NUM!</v>
      </c>
      <c r="BL403" s="51">
        <f t="shared" si="355"/>
        <v>-27.322729415223499</v>
      </c>
      <c r="BM403" s="63">
        <f t="shared" si="356"/>
        <v>-22.722224431351897</v>
      </c>
    </row>
    <row r="404" spans="14:65" x14ac:dyDescent="0.3">
      <c r="N404" s="11">
        <v>86</v>
      </c>
      <c r="O404" s="52">
        <f t="shared" si="359"/>
        <v>72443.596007499116</v>
      </c>
      <c r="P404" s="50" t="str">
        <f t="shared" si="360"/>
        <v>23.3035714285714</v>
      </c>
      <c r="Q404" s="18" t="str">
        <f t="shared" si="361"/>
        <v>1+172.641958354162i</v>
      </c>
      <c r="R404" s="18">
        <f t="shared" ref="R404:R467" si="372">IMABS(Q404)</f>
        <v>172.64485449720249</v>
      </c>
      <c r="S404" s="18">
        <f t="shared" ref="S404:S467" si="373">IMARGUMENT(Q404)</f>
        <v>1.5650040569084527</v>
      </c>
      <c r="T404" s="18" t="str">
        <f t="shared" si="362"/>
        <v>1+0.805662472319423i</v>
      </c>
      <c r="U404" s="18">
        <f t="shared" ref="U404:U467" si="374">IMABS(T404)</f>
        <v>1.2841697782239876</v>
      </c>
      <c r="V404" s="18">
        <f t="shared" ref="V404:V467" si="375">IMARGUMENT(T404)</f>
        <v>0.67818414485180134</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-0.142464895718087-0.182242109258879i</v>
      </c>
      <c r="AD404" s="66">
        <f t="shared" ref="AD404:AD467" si="381">20*LOG(IMABS(AC404))</f>
        <v>-12.715777680174023</v>
      </c>
      <c r="AE404" s="63">
        <f t="shared" ref="AE404:AE467" si="382">(180/PI())*IMARGUMENT(AC404)</f>
        <v>-128.01595728875341</v>
      </c>
      <c r="AF404" s="51" t="e">
        <f t="shared" ref="AF404:AF467" si="383">COMPLEX($B$68,0)</f>
        <v>#NUM!</v>
      </c>
      <c r="AG404" s="51" t="str">
        <f t="shared" si="365"/>
        <v>1-241.698741695827i</v>
      </c>
      <c r="AH404" s="51">
        <f t="shared" ref="AH404:AH467" si="384">IMABS(AG404)</f>
        <v>241.70081037792593</v>
      </c>
      <c r="AI404" s="51">
        <f t="shared" ref="AI404:AI467" si="385">IMARGUMENT(AG404)</f>
        <v>-1.5666589684989203</v>
      </c>
      <c r="AJ404" s="51" t="str">
        <f t="shared" si="366"/>
        <v>1+0.805662472319423i</v>
      </c>
      <c r="AK404" s="51">
        <f t="shared" ref="AK404:AK467" si="386">IMABS(AJ404)</f>
        <v>1.2841697782239876</v>
      </c>
      <c r="AL404" s="51">
        <f t="shared" ref="AL404:AL467" si="387">IMARGUMENT(AJ404)</f>
        <v>0.67818414485180134</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0.0383563054819088-0.0167914822959243i</v>
      </c>
      <c r="BG404" s="66">
        <f t="shared" ref="BG404:BG467" si="403">20*LOG(IMABS(BF404))</f>
        <v>-27.561784348737646</v>
      </c>
      <c r="BH404" s="63">
        <f t="shared" ref="BH404:BH467" si="404">(180/PI())*IMARGUMENT(BF404)</f>
        <v>-23.642664896895351</v>
      </c>
      <c r="BI404" s="60" t="e">
        <f t="shared" si="357"/>
        <v>#NUM!</v>
      </c>
      <c r="BJ404" s="66" t="e">
        <f t="shared" ref="BJ404:BJ467" si="405">20*LOG(IMABS(BI404))</f>
        <v>#NUM!</v>
      </c>
      <c r="BK404" s="63" t="e">
        <f t="shared" si="358"/>
        <v>#NUM!</v>
      </c>
      <c r="BL404" s="51">
        <f t="shared" ref="BL404:BL467" si="406">IF($B$31=0,BJ404,BG404)</f>
        <v>-27.561784348737646</v>
      </c>
      <c r="BM404" s="63">
        <f t="shared" ref="BM404:BM467" si="407">IF($B$31=0,BK404,BH404)</f>
        <v>-23.642664896895351</v>
      </c>
    </row>
    <row r="405" spans="14:65" x14ac:dyDescent="0.3">
      <c r="N405" s="11">
        <v>87</v>
      </c>
      <c r="O405" s="52">
        <f t="shared" si="359"/>
        <v>74131.024130091857</v>
      </c>
      <c r="P405" s="50" t="str">
        <f t="shared" si="360"/>
        <v>23.3035714285714</v>
      </c>
      <c r="Q405" s="18" t="str">
        <f t="shared" si="361"/>
        <v>1+176.66330615744i</v>
      </c>
      <c r="R405" s="18">
        <f t="shared" si="372"/>
        <v>176.66613637728474</v>
      </c>
      <c r="S405" s="18">
        <f t="shared" si="373"/>
        <v>1.565135902218949</v>
      </c>
      <c r="T405" s="18" t="str">
        <f t="shared" si="362"/>
        <v>1+0.824428762068054i</v>
      </c>
      <c r="U405" s="18">
        <f t="shared" si="374"/>
        <v>1.2960257650699172</v>
      </c>
      <c r="V405" s="18">
        <f t="shared" si="375"/>
        <v>0.68946005327915016</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-0.143554736703728-0.179685897297862i</v>
      </c>
      <c r="AD405" s="66">
        <f t="shared" si="381"/>
        <v>-12.765855089333609</v>
      </c>
      <c r="AE405" s="63">
        <f t="shared" si="382"/>
        <v>-128.62207250380112</v>
      </c>
      <c r="AF405" s="51" t="e">
        <f t="shared" si="383"/>
        <v>#NUM!</v>
      </c>
      <c r="AG405" s="51" t="str">
        <f t="shared" si="365"/>
        <v>1-247.328628620417i</v>
      </c>
      <c r="AH405" s="51">
        <f t="shared" si="384"/>
        <v>247.33065021395177</v>
      </c>
      <c r="AI405" s="51">
        <f t="shared" si="385"/>
        <v>-1.566753145233319</v>
      </c>
      <c r="AJ405" s="51" t="str">
        <f t="shared" si="366"/>
        <v>1+0.824428762068054i</v>
      </c>
      <c r="AK405" s="51">
        <f t="shared" si="386"/>
        <v>1.2960257650699172</v>
      </c>
      <c r="AL405" s="51">
        <f t="shared" si="387"/>
        <v>0.68946005327915016</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0.0370587513742306-0.0169359186521628i</v>
      </c>
      <c r="BG405" s="66">
        <f t="shared" si="403"/>
        <v>-27.798457656496044</v>
      </c>
      <c r="BH405" s="63">
        <f t="shared" si="404"/>
        <v>-24.560489289977639</v>
      </c>
      <c r="BI405" s="60" t="e">
        <f t="shared" si="357"/>
        <v>#NUM!</v>
      </c>
      <c r="BJ405" s="66" t="e">
        <f t="shared" si="405"/>
        <v>#NUM!</v>
      </c>
      <c r="BK405" s="63" t="e">
        <f t="shared" si="358"/>
        <v>#NUM!</v>
      </c>
      <c r="BL405" s="51">
        <f t="shared" si="406"/>
        <v>-27.798457656496044</v>
      </c>
      <c r="BM405" s="63">
        <f t="shared" si="407"/>
        <v>-24.560489289977639</v>
      </c>
    </row>
    <row r="406" spans="14:65" x14ac:dyDescent="0.3">
      <c r="N406" s="11">
        <v>88</v>
      </c>
      <c r="O406" s="52">
        <f t="shared" si="359"/>
        <v>75857.757502918481</v>
      </c>
      <c r="P406" s="50" t="str">
        <f t="shared" si="360"/>
        <v>23.3035714285714</v>
      </c>
      <c r="Q406" s="18" t="str">
        <f t="shared" si="361"/>
        <v>1+180.778323184057i</v>
      </c>
      <c r="R406" s="18">
        <f t="shared" si="372"/>
        <v>180.78108898122991</v>
      </c>
      <c r="S406" s="18">
        <f t="shared" si="373"/>
        <v>1.5652647465539344</v>
      </c>
      <c r="T406" s="18" t="str">
        <f t="shared" si="362"/>
        <v>1+0.843632174858935i</v>
      </c>
      <c r="U406" s="18">
        <f t="shared" si="374"/>
        <v>1.3083253595559541</v>
      </c>
      <c r="V406" s="18">
        <f t="shared" si="375"/>
        <v>0.70078557733609126</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-0.144671069319257-0.177184101485957i</v>
      </c>
      <c r="AD406" s="66">
        <f t="shared" si="381"/>
        <v>-12.81299692844911</v>
      </c>
      <c r="AE406" s="63">
        <f t="shared" si="382"/>
        <v>-129.23168661600803</v>
      </c>
      <c r="AF406" s="51" t="e">
        <f t="shared" si="383"/>
        <v>#NUM!</v>
      </c>
      <c r="AG406" s="51" t="str">
        <f t="shared" si="365"/>
        <v>1-253.089652457681i</v>
      </c>
      <c r="AH406" s="51">
        <f t="shared" si="384"/>
        <v>253.09162803449223</v>
      </c>
      <c r="AI406" s="51">
        <f t="shared" si="385"/>
        <v>-1.5668451783128239</v>
      </c>
      <c r="AJ406" s="51" t="str">
        <f t="shared" si="366"/>
        <v>1+0.843632174858935i</v>
      </c>
      <c r="AK406" s="51">
        <f t="shared" si="386"/>
        <v>1.3083253595559541</v>
      </c>
      <c r="AL406" s="51">
        <f t="shared" si="387"/>
        <v>0.70078557733609126</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0.0358045385780789-0.017059250175901i</v>
      </c>
      <c r="BG406" s="66">
        <f t="shared" si="403"/>
        <v>-28.03275971163762</v>
      </c>
      <c r="BH406" s="63">
        <f t="shared" si="404"/>
        <v>-25.475696761026398</v>
      </c>
      <c r="BI406" s="60" t="e">
        <f t="shared" si="357"/>
        <v>#NUM!</v>
      </c>
      <c r="BJ406" s="66" t="e">
        <f t="shared" si="405"/>
        <v>#NUM!</v>
      </c>
      <c r="BK406" s="63" t="e">
        <f t="shared" si="358"/>
        <v>#NUM!</v>
      </c>
      <c r="BL406" s="51">
        <f t="shared" si="406"/>
        <v>-28.03275971163762</v>
      </c>
      <c r="BM406" s="63">
        <f t="shared" si="407"/>
        <v>-25.475696761026398</v>
      </c>
    </row>
    <row r="407" spans="14:65" x14ac:dyDescent="0.3">
      <c r="N407" s="11">
        <v>89</v>
      </c>
      <c r="O407" s="52">
        <f t="shared" si="359"/>
        <v>77624.711662869129</v>
      </c>
      <c r="P407" s="50" t="str">
        <f t="shared" si="360"/>
        <v>23.3035714285714</v>
      </c>
      <c r="Q407" s="18" t="str">
        <f t="shared" si="361"/>
        <v>1+184.989191270511i</v>
      </c>
      <c r="R407" s="18">
        <f t="shared" si="372"/>
        <v>184.99189411138451</v>
      </c>
      <c r="S407" s="18">
        <f t="shared" si="373"/>
        <v>1.5653906582112596</v>
      </c>
      <c r="T407" s="18" t="str">
        <f t="shared" si="362"/>
        <v>1+0.863282892595719i</v>
      </c>
      <c r="U407" s="18">
        <f t="shared" si="374"/>
        <v>1.3210818871850571</v>
      </c>
      <c r="V407" s="18">
        <f t="shared" si="375"/>
        <v>0.71215510117073688</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-0.145813895092329-0.174733755254903i</v>
      </c>
      <c r="AD407" s="66">
        <f t="shared" si="381"/>
        <v>-12.857240925252158</v>
      </c>
      <c r="AE407" s="63">
        <f t="shared" si="382"/>
        <v>-129.8447228285111</v>
      </c>
      <c r="AF407" s="51" t="e">
        <f t="shared" si="383"/>
        <v>#NUM!</v>
      </c>
      <c r="AG407" s="51" t="str">
        <f t="shared" si="365"/>
        <v>1-258.984867778716i</v>
      </c>
      <c r="AH407" s="51">
        <f t="shared" si="384"/>
        <v>258.98679838624793</v>
      </c>
      <c r="AI407" s="51">
        <f t="shared" si="385"/>
        <v>-1.5669351165283523</v>
      </c>
      <c r="AJ407" s="51" t="str">
        <f t="shared" si="366"/>
        <v>1+0.863282892595719i</v>
      </c>
      <c r="AK407" s="51">
        <f t="shared" si="386"/>
        <v>1.3210818871850571</v>
      </c>
      <c r="AL407" s="51">
        <f t="shared" si="387"/>
        <v>0.71215510117073688</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0.0345921076477479-0.0171628600909698i</v>
      </c>
      <c r="BG407" s="66">
        <f t="shared" si="403"/>
        <v>-28.264706060544821</v>
      </c>
      <c r="BH407" s="63">
        <f t="shared" si="404"/>
        <v>-26.38828978689267</v>
      </c>
      <c r="BI407" s="60" t="e">
        <f t="shared" si="357"/>
        <v>#NUM!</v>
      </c>
      <c r="BJ407" s="66" t="e">
        <f t="shared" si="405"/>
        <v>#NUM!</v>
      </c>
      <c r="BK407" s="63" t="e">
        <f t="shared" si="358"/>
        <v>#NUM!</v>
      </c>
      <c r="BL407" s="51">
        <f t="shared" si="406"/>
        <v>-28.264706060544821</v>
      </c>
      <c r="BM407" s="63">
        <f t="shared" si="407"/>
        <v>-26.38828978689267</v>
      </c>
    </row>
    <row r="408" spans="14:65" x14ac:dyDescent="0.3">
      <c r="N408" s="11">
        <v>90</v>
      </c>
      <c r="O408" s="52">
        <f t="shared" si="359"/>
        <v>79432.823472428237</v>
      </c>
      <c r="P408" s="50" t="str">
        <f t="shared" si="360"/>
        <v>23.3035714285714</v>
      </c>
      <c r="Q408" s="18" t="str">
        <f t="shared" si="361"/>
        <v>1+189.298143074798i</v>
      </c>
      <c r="R408" s="18">
        <f t="shared" si="372"/>
        <v>189.30078439237036</v>
      </c>
      <c r="S408" s="18">
        <f t="shared" si="373"/>
        <v>1.5655137039349734</v>
      </c>
      <c r="T408" s="18" t="str">
        <f t="shared" si="362"/>
        <v>1+0.88339133434906i</v>
      </c>
      <c r="U408" s="18">
        <f t="shared" si="374"/>
        <v>1.3343089033664628</v>
      </c>
      <c r="V408" s="18">
        <f t="shared" si="375"/>
        <v>0.72356289635154225</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-0.146983145737194-0.172331901379835i</v>
      </c>
      <c r="AD408" s="66">
        <f t="shared" si="381"/>
        <v>-12.898629154542522</v>
      </c>
      <c r="AE408" s="63">
        <f t="shared" si="382"/>
        <v>-130.46110563966968</v>
      </c>
      <c r="AF408" s="51" t="e">
        <f t="shared" si="383"/>
        <v>#NUM!</v>
      </c>
      <c r="AG408" s="51" t="str">
        <f t="shared" si="365"/>
        <v>1-265.017400304718i</v>
      </c>
      <c r="AH408" s="51">
        <f t="shared" si="384"/>
        <v>265.0192869665737</v>
      </c>
      <c r="AI408" s="51">
        <f t="shared" si="385"/>
        <v>-1.5670230075605129</v>
      </c>
      <c r="AJ408" s="51" t="str">
        <f t="shared" si="366"/>
        <v>1+0.88339133434906i</v>
      </c>
      <c r="AK408" s="51">
        <f t="shared" si="386"/>
        <v>1.3343089033664628</v>
      </c>
      <c r="AL408" s="51">
        <f t="shared" si="387"/>
        <v>0.72356289635154225</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0.0334199362700335-0.0172480402696046i</v>
      </c>
      <c r="BG408" s="66">
        <f t="shared" si="403"/>
        <v>-28.494317337601878</v>
      </c>
      <c r="BH408" s="63">
        <f t="shared" si="404"/>
        <v>-27.29827378656594</v>
      </c>
      <c r="BI408" s="60" t="e">
        <f t="shared" si="357"/>
        <v>#NUM!</v>
      </c>
      <c r="BJ408" s="66" t="e">
        <f t="shared" si="405"/>
        <v>#NUM!</v>
      </c>
      <c r="BK408" s="63" t="e">
        <f t="shared" si="358"/>
        <v>#NUM!</v>
      </c>
      <c r="BL408" s="51">
        <f t="shared" si="406"/>
        <v>-28.494317337601878</v>
      </c>
      <c r="BM408" s="63">
        <f t="shared" si="407"/>
        <v>-27.29827378656594</v>
      </c>
    </row>
    <row r="409" spans="14:65" x14ac:dyDescent="0.3">
      <c r="N409" s="11">
        <v>91</v>
      </c>
      <c r="O409" s="52">
        <f t="shared" si="359"/>
        <v>81283.051616410012</v>
      </c>
      <c r="P409" s="50" t="str">
        <f t="shared" si="360"/>
        <v>23.3035714285714</v>
      </c>
      <c r="Q409" s="18" t="str">
        <f t="shared" si="361"/>
        <v>1+193.707463260201i</v>
      </c>
      <c r="R409" s="18">
        <f t="shared" si="372"/>
        <v>193.71004445485556</v>
      </c>
      <c r="S409" s="18">
        <f t="shared" si="373"/>
        <v>1.5656339489506352</v>
      </c>
      <c r="T409" s="18" t="str">
        <f t="shared" si="362"/>
        <v>1+0.903968161880937i</v>
      </c>
      <c r="U409" s="18">
        <f t="shared" si="374"/>
        <v>1.348020191871917</v>
      </c>
      <c r="V409" s="18">
        <f t="shared" si="375"/>
        <v>0.73500313566664277</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-0.148178680146051-0.16997559470549i</v>
      </c>
      <c r="AD409" s="66">
        <f t="shared" si="381"/>
        <v>-12.93720794513388</v>
      </c>
      <c r="AE409" s="63">
        <f t="shared" si="382"/>
        <v>-131.08076064056451</v>
      </c>
      <c r="AF409" s="51" t="e">
        <f t="shared" si="383"/>
        <v>#NUM!</v>
      </c>
      <c r="AG409" s="51" t="str">
        <f t="shared" si="365"/>
        <v>1-271.190448564281i</v>
      </c>
      <c r="AH409" s="51">
        <f t="shared" si="384"/>
        <v>271.19229228076512</v>
      </c>
      <c r="AI409" s="51">
        <f t="shared" si="385"/>
        <v>-1.56710889800486</v>
      </c>
      <c r="AJ409" s="51" t="str">
        <f t="shared" si="366"/>
        <v>1+0.903968161880937i</v>
      </c>
      <c r="AK409" s="51">
        <f t="shared" si="386"/>
        <v>1.348020191871917</v>
      </c>
      <c r="AL409" s="51">
        <f t="shared" si="387"/>
        <v>0.73500313566664277</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0.0322865410375324-0.0173159956669655i</v>
      </c>
      <c r="BG409" s="66">
        <f t="shared" si="403"/>
        <v>-28.721619158383209</v>
      </c>
      <c r="BH409" s="63">
        <f t="shared" si="404"/>
        <v>-28.205656704647343</v>
      </c>
      <c r="BI409" s="60" t="e">
        <f t="shared" si="357"/>
        <v>#NUM!</v>
      </c>
      <c r="BJ409" s="66" t="e">
        <f t="shared" si="405"/>
        <v>#NUM!</v>
      </c>
      <c r="BK409" s="63" t="e">
        <f t="shared" si="358"/>
        <v>#NUM!</v>
      </c>
      <c r="BL409" s="51">
        <f t="shared" si="406"/>
        <v>-28.721619158383209</v>
      </c>
      <c r="BM409" s="63">
        <f t="shared" si="407"/>
        <v>-28.205656704647343</v>
      </c>
    </row>
    <row r="410" spans="14:65" x14ac:dyDescent="0.3">
      <c r="N410" s="11">
        <v>92</v>
      </c>
      <c r="O410" s="52">
        <f t="shared" si="359"/>
        <v>83176.377110267174</v>
      </c>
      <c r="P410" s="50" t="str">
        <f t="shared" si="360"/>
        <v>23.3035714285714</v>
      </c>
      <c r="Q410" s="18" t="str">
        <f t="shared" si="361"/>
        <v>1+198.219489706645i</v>
      </c>
      <c r="R410" s="18">
        <f t="shared" si="372"/>
        <v>198.22201214689235</v>
      </c>
      <c r="S410" s="18">
        <f t="shared" si="373"/>
        <v>1.565751456999827</v>
      </c>
      <c r="T410" s="18" t="str">
        <f t="shared" si="362"/>
        <v>1+0.925024285297677i</v>
      </c>
      <c r="U410" s="18">
        <f t="shared" si="374"/>
        <v>1.3622297634358449</v>
      </c>
      <c r="V410" s="18">
        <f t="shared" si="375"/>
        <v>0.74646990753715425</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-0.149400281568409-0.167661905230237i</v>
      </c>
      <c r="AD410" s="66">
        <f t="shared" si="381"/>
        <v>-12.97302776636991</v>
      </c>
      <c r="AE410" s="63">
        <f t="shared" si="382"/>
        <v>-131.70361427166748</v>
      </c>
      <c r="AF410" s="51" t="e">
        <f t="shared" si="383"/>
        <v>#NUM!</v>
      </c>
      <c r="AG410" s="51" t="str">
        <f t="shared" si="365"/>
        <v>1-277.507285589304i</v>
      </c>
      <c r="AH410" s="51">
        <f t="shared" si="384"/>
        <v>277.50908733795285</v>
      </c>
      <c r="AI410" s="51">
        <f t="shared" si="385"/>
        <v>-1.5671928333965721</v>
      </c>
      <c r="AJ410" s="51" t="str">
        <f t="shared" si="366"/>
        <v>1+0.925024285297677i</v>
      </c>
      <c r="AK410" s="51">
        <f t="shared" si="386"/>
        <v>1.3622297634358449</v>
      </c>
      <c r="AL410" s="51">
        <f t="shared" si="387"/>
        <v>0.74646990753715425</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0.0311904789724731-0.0173678487031839i</v>
      </c>
      <c r="BG410" s="66">
        <f t="shared" si="403"/>
        <v>-28.946641991661572</v>
      </c>
      <c r="BH410" s="63">
        <f t="shared" si="404"/>
        <v>-29.11044856560034</v>
      </c>
      <c r="BI410" s="60" t="e">
        <f t="shared" si="357"/>
        <v>#NUM!</v>
      </c>
      <c r="BJ410" s="66" t="e">
        <f t="shared" si="405"/>
        <v>#NUM!</v>
      </c>
      <c r="BK410" s="63" t="e">
        <f t="shared" si="358"/>
        <v>#NUM!</v>
      </c>
      <c r="BL410" s="51">
        <f t="shared" si="406"/>
        <v>-28.946641991661572</v>
      </c>
      <c r="BM410" s="63">
        <f t="shared" si="407"/>
        <v>-29.11044856560034</v>
      </c>
    </row>
    <row r="411" spans="14:65" x14ac:dyDescent="0.3">
      <c r="N411" s="11">
        <v>93</v>
      </c>
      <c r="O411" s="52">
        <f t="shared" si="359"/>
        <v>85113.803820237721</v>
      </c>
      <c r="P411" s="50" t="str">
        <f t="shared" si="360"/>
        <v>23.3035714285714</v>
      </c>
      <c r="Q411" s="18" t="str">
        <f t="shared" si="361"/>
        <v>1+202.836614750277i</v>
      </c>
      <c r="R411" s="18">
        <f t="shared" si="372"/>
        <v>202.83907977348028</v>
      </c>
      <c r="S411" s="18">
        <f t="shared" si="373"/>
        <v>1.5658662903738836</v>
      </c>
      <c r="T411" s="18" t="str">
        <f t="shared" si="362"/>
        <v>1+0.946570868834625i</v>
      </c>
      <c r="U411" s="18">
        <f t="shared" si="374"/>
        <v>1.3769518545418853</v>
      </c>
      <c r="V411" s="18">
        <f t="shared" si="375"/>
        <v>0.75795723096062873</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-0.150647655015917-0.16538792153965i</v>
      </c>
      <c r="AD411" s="66">
        <f t="shared" si="381"/>
        <v>-13.006143094659118</v>
      </c>
      <c r="AE411" s="63">
        <f t="shared" si="382"/>
        <v>-132.329593542753</v>
      </c>
      <c r="AF411" s="51" t="e">
        <f t="shared" si="383"/>
        <v>#NUM!</v>
      </c>
      <c r="AG411" s="51" t="str">
        <f t="shared" si="365"/>
        <v>1-283.971260650388i</v>
      </c>
      <c r="AH411" s="51">
        <f t="shared" si="384"/>
        <v>283.97302138648774</v>
      </c>
      <c r="AI411" s="51">
        <f t="shared" si="385"/>
        <v>-1.5672748582345712</v>
      </c>
      <c r="AJ411" s="51" t="str">
        <f t="shared" si="366"/>
        <v>1+0.946570868834625i</v>
      </c>
      <c r="AK411" s="51">
        <f t="shared" si="386"/>
        <v>1.3769518545418853</v>
      </c>
      <c r="AL411" s="51">
        <f t="shared" si="387"/>
        <v>0.75795723096062873</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0.0301303488128979-0.0174046435833595i</v>
      </c>
      <c r="BG411" s="66">
        <f t="shared" si="403"/>
        <v>-29.169421010800175</v>
      </c>
      <c r="BH411" s="63">
        <f t="shared" si="404"/>
        <v>-30.012661002579581</v>
      </c>
      <c r="BI411" s="60" t="e">
        <f t="shared" si="357"/>
        <v>#NUM!</v>
      </c>
      <c r="BJ411" s="66" t="e">
        <f t="shared" si="405"/>
        <v>#NUM!</v>
      </c>
      <c r="BK411" s="63" t="e">
        <f t="shared" si="358"/>
        <v>#NUM!</v>
      </c>
      <c r="BL411" s="51">
        <f t="shared" si="406"/>
        <v>-29.169421010800175</v>
      </c>
      <c r="BM411" s="63">
        <f t="shared" si="407"/>
        <v>-30.012661002579581</v>
      </c>
    </row>
    <row r="412" spans="14:65" x14ac:dyDescent="0.3">
      <c r="N412" s="11">
        <v>94</v>
      </c>
      <c r="O412" s="52">
        <f t="shared" si="359"/>
        <v>87096.358995608127</v>
      </c>
      <c r="P412" s="50" t="str">
        <f t="shared" si="360"/>
        <v>23.3035714285714</v>
      </c>
      <c r="Q412" s="18" t="str">
        <f t="shared" si="361"/>
        <v>1+207.56128645191i</v>
      </c>
      <c r="R412" s="18">
        <f t="shared" si="372"/>
        <v>207.56369536499355</v>
      </c>
      <c r="S412" s="18">
        <f t="shared" si="373"/>
        <v>1.5659785099468593</v>
      </c>
      <c r="T412" s="18" t="str">
        <f t="shared" si="362"/>
        <v>1+0.968619336775578i</v>
      </c>
      <c r="U412" s="18">
        <f t="shared" si="374"/>
        <v>1.392200926438264</v>
      </c>
      <c r="V412" s="18">
        <f t="shared" si="375"/>
        <v>0.76945907089478371</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-0.151920424930553-0.163150754577239i</v>
      </c>
      <c r="AD412" s="66">
        <f t="shared" si="381"/>
        <v>-13.036612260645303</v>
      </c>
      <c r="AE412" s="63">
        <f t="shared" si="382"/>
        <v>-132.95862572084908</v>
      </c>
      <c r="AF412" s="51" t="e">
        <f t="shared" si="383"/>
        <v>#NUM!</v>
      </c>
      <c r="AG412" s="51" t="str">
        <f t="shared" si="365"/>
        <v>1-290.585801032674i</v>
      </c>
      <c r="AH412" s="51">
        <f t="shared" si="384"/>
        <v>290.58752168976696</v>
      </c>
      <c r="AI412" s="51">
        <f t="shared" si="385"/>
        <v>-1.5673550160050949</v>
      </c>
      <c r="AJ412" s="51" t="str">
        <f t="shared" si="366"/>
        <v>1+0.968619336775578i</v>
      </c>
      <c r="AK412" s="51">
        <f t="shared" si="386"/>
        <v>1.392200926438264</v>
      </c>
      <c r="AL412" s="51">
        <f t="shared" si="387"/>
        <v>0.76945907089478371</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0.0291047920726215-0.0174273505469921i</v>
      </c>
      <c r="BG412" s="66">
        <f t="shared" si="403"/>
        <v>-29.389995925251387</v>
      </c>
      <c r="BH412" s="63">
        <f t="shared" si="404"/>
        <v>-30.912306765333433</v>
      </c>
      <c r="BI412" s="60" t="e">
        <f t="shared" si="357"/>
        <v>#NUM!</v>
      </c>
      <c r="BJ412" s="66" t="e">
        <f t="shared" si="405"/>
        <v>#NUM!</v>
      </c>
      <c r="BK412" s="63" t="e">
        <f t="shared" si="358"/>
        <v>#NUM!</v>
      </c>
      <c r="BL412" s="51">
        <f t="shared" si="406"/>
        <v>-29.389995925251387</v>
      </c>
      <c r="BM412" s="63">
        <f t="shared" si="407"/>
        <v>-30.912306765333433</v>
      </c>
    </row>
    <row r="413" spans="14:65" x14ac:dyDescent="0.3">
      <c r="N413" s="11">
        <v>95</v>
      </c>
      <c r="O413" s="52">
        <f t="shared" si="359"/>
        <v>89125.093813374609</v>
      </c>
      <c r="P413" s="50" t="str">
        <f t="shared" si="360"/>
        <v>23.3035714285714</v>
      </c>
      <c r="Q413" s="18" t="str">
        <f t="shared" si="361"/>
        <v>1+212.396009895017i</v>
      </c>
      <c r="R413" s="18">
        <f t="shared" si="372"/>
        <v>212.39836397515907</v>
      </c>
      <c r="S413" s="18">
        <f t="shared" si="373"/>
        <v>1.5660881752077447</v>
      </c>
      <c r="T413" s="18" t="str">
        <f t="shared" si="362"/>
        <v>1+0.991181379510081i</v>
      </c>
      <c r="U413" s="18">
        <f t="shared" si="374"/>
        <v>1.4079916644240147</v>
      </c>
      <c r="V413" s="18">
        <f t="shared" si="375"/>
        <v>0.78096935398640632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-0.153218133153979-0.160947541735464i</v>
      </c>
      <c r="AD413" s="66">
        <f t="shared" si="381"/>
        <v>-13.064497277801959</v>
      </c>
      <c r="AE413" s="63">
        <f t="shared" si="382"/>
        <v>-133.59063799170903</v>
      </c>
      <c r="AF413" s="51" t="e">
        <f t="shared" si="383"/>
        <v>#NUM!</v>
      </c>
      <c r="AG413" s="51" t="str">
        <f t="shared" si="365"/>
        <v>1-297.354413853025i</v>
      </c>
      <c r="AH413" s="51">
        <f t="shared" si="384"/>
        <v>297.35609534340483</v>
      </c>
      <c r="AI413" s="51">
        <f t="shared" si="385"/>
        <v>-1.5674333492047314</v>
      </c>
      <c r="AJ413" s="51" t="str">
        <f t="shared" si="366"/>
        <v>1+0.991181379510081i</v>
      </c>
      <c r="AK413" s="51">
        <f t="shared" si="386"/>
        <v>1.4079916644240147</v>
      </c>
      <c r="AL413" s="51">
        <f t="shared" si="387"/>
        <v>0.78096935398640632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0.0281124938859264-0.0174368700392479i</v>
      </c>
      <c r="BG413" s="66">
        <f t="shared" si="403"/>
        <v>-29.608410793049021</v>
      </c>
      <c r="BH413" s="63">
        <f t="shared" si="404"/>
        <v>-31.809399212341244</v>
      </c>
      <c r="BI413" s="60" t="e">
        <f t="shared" si="357"/>
        <v>#NUM!</v>
      </c>
      <c r="BJ413" s="66" t="e">
        <f t="shared" si="405"/>
        <v>#NUM!</v>
      </c>
      <c r="BK413" s="63" t="e">
        <f t="shared" si="358"/>
        <v>#NUM!</v>
      </c>
      <c r="BL413" s="51">
        <f t="shared" si="406"/>
        <v>-29.608410793049021</v>
      </c>
      <c r="BM413" s="63">
        <f t="shared" si="407"/>
        <v>-31.809399212341244</v>
      </c>
    </row>
    <row r="414" spans="14:65" x14ac:dyDescent="0.3">
      <c r="N414" s="11">
        <v>96</v>
      </c>
      <c r="O414" s="52">
        <f t="shared" si="359"/>
        <v>91201.083935591028</v>
      </c>
      <c r="P414" s="50" t="str">
        <f t="shared" si="360"/>
        <v>23.3035714285714</v>
      </c>
      <c r="Q414" s="18" t="str">
        <f t="shared" si="361"/>
        <v>1+217.343348513965i</v>
      </c>
      <c r="R414" s="18">
        <f t="shared" si="372"/>
        <v>217.34564900927475</v>
      </c>
      <c r="S414" s="18">
        <f t="shared" si="373"/>
        <v>1.5661953442919556</v>
      </c>
      <c r="T414" s="18" t="str">
        <f t="shared" si="362"/>
        <v>1+1.01426895973184i</v>
      </c>
      <c r="U414" s="18">
        <f t="shared" si="374"/>
        <v>1.424338977447261</v>
      </c>
      <c r="V414" s="18">
        <f t="shared" si="375"/>
        <v>0.7924819845463007</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-0.154540237235209-0.158775451245584i</v>
      </c>
      <c r="AD414" s="66">
        <f t="shared" si="381"/>
        <v>-13.089863653404636</v>
      </c>
      <c r="AE414" s="63">
        <f t="shared" si="382"/>
        <v>-134.22555710086229</v>
      </c>
      <c r="AF414" s="51" t="e">
        <f t="shared" si="383"/>
        <v>#NUM!</v>
      </c>
      <c r="AG414" s="51" t="str">
        <f t="shared" si="365"/>
        <v>1-304.280687919551i</v>
      </c>
      <c r="AH414" s="51">
        <f t="shared" si="384"/>
        <v>304.28233113474596</v>
      </c>
      <c r="AI414" s="51">
        <f t="shared" si="385"/>
        <v>-1.5675098993629328</v>
      </c>
      <c r="AJ414" s="51" t="str">
        <f t="shared" si="366"/>
        <v>1+1.01426895973184i</v>
      </c>
      <c r="AK414" s="51">
        <f t="shared" si="386"/>
        <v>1.424338977447261</v>
      </c>
      <c r="AL414" s="51">
        <f t="shared" si="387"/>
        <v>0.7924819845463007</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0.0271521836474997-0.0174340367972232i</v>
      </c>
      <c r="BG414" s="66">
        <f t="shared" si="403"/>
        <v>-29.824713815340012</v>
      </c>
      <c r="BH414" s="63">
        <f t="shared" si="404"/>
        <v>-32.703951792902622</v>
      </c>
      <c r="BI414" s="60" t="e">
        <f t="shared" si="357"/>
        <v>#NUM!</v>
      </c>
      <c r="BJ414" s="66" t="e">
        <f t="shared" si="405"/>
        <v>#NUM!</v>
      </c>
      <c r="BK414" s="63" t="e">
        <f t="shared" si="358"/>
        <v>#NUM!</v>
      </c>
      <c r="BL414" s="51">
        <f t="shared" si="406"/>
        <v>-29.824713815340012</v>
      </c>
      <c r="BM414" s="63">
        <f t="shared" si="407"/>
        <v>-32.703951792902622</v>
      </c>
    </row>
    <row r="415" spans="14:65" x14ac:dyDescent="0.3">
      <c r="N415" s="11">
        <v>97</v>
      </c>
      <c r="O415" s="52">
        <f t="shared" si="359"/>
        <v>93325.430079699145</v>
      </c>
      <c r="P415" s="50" t="str">
        <f t="shared" si="360"/>
        <v>23.3035714285714</v>
      </c>
      <c r="Q415" s="18" t="str">
        <f t="shared" si="361"/>
        <v>1+222.405925453174i</v>
      </c>
      <c r="R415" s="18">
        <f t="shared" si="372"/>
        <v>222.40817358335281</v>
      </c>
      <c r="S415" s="18">
        <f t="shared" si="373"/>
        <v>1.5663000740121062</v>
      </c>
      <c r="T415" s="18" t="str">
        <f t="shared" si="362"/>
        <v>1+1.03789431878148i</v>
      </c>
      <c r="U415" s="18">
        <f t="shared" si="374"/>
        <v>1.4412579980554738</v>
      </c>
      <c r="V415" s="18">
        <f t="shared" si="375"/>
        <v>0.80399086066815961</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-0.15588610911255-0.156631686840222i</v>
      </c>
      <c r="AD415" s="66">
        <f t="shared" si="381"/>
        <v>-13.112780182992873</v>
      </c>
      <c r="AE415" s="63">
        <f t="shared" si="382"/>
        <v>-134.86330898079331</v>
      </c>
      <c r="AF415" s="51" t="e">
        <f t="shared" si="383"/>
        <v>#NUM!</v>
      </c>
      <c r="AG415" s="51" t="str">
        <f t="shared" si="365"/>
        <v>1-311.368295634444i</v>
      </c>
      <c r="AH415" s="51">
        <f t="shared" si="384"/>
        <v>311.36990144568972</v>
      </c>
      <c r="AI415" s="51">
        <f t="shared" si="385"/>
        <v>-1.567584707064015</v>
      </c>
      <c r="AJ415" s="51" t="str">
        <f t="shared" si="366"/>
        <v>1+1.03789431878148i</v>
      </c>
      <c r="AK415" s="51">
        <f t="shared" si="386"/>
        <v>1.4412579980554738</v>
      </c>
      <c r="AL415" s="51">
        <f t="shared" si="387"/>
        <v>0.80399086066815961</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0.0262226354576795-0.0174196238450188i</v>
      </c>
      <c r="BG415" s="66">
        <f t="shared" si="403"/>
        <v>-30.038957114149646</v>
      </c>
      <c r="BH415" s="63">
        <f t="shared" si="404"/>
        <v>-33.59597752537158</v>
      </c>
      <c r="BI415" s="60" t="e">
        <f t="shared" si="357"/>
        <v>#NUM!</v>
      </c>
      <c r="BJ415" s="66" t="e">
        <f t="shared" si="405"/>
        <v>#NUM!</v>
      </c>
      <c r="BK415" s="63" t="e">
        <f t="shared" si="358"/>
        <v>#NUM!</v>
      </c>
      <c r="BL415" s="51">
        <f t="shared" si="406"/>
        <v>-30.038957114149646</v>
      </c>
      <c r="BM415" s="63">
        <f t="shared" si="407"/>
        <v>-33.59597752537158</v>
      </c>
    </row>
    <row r="416" spans="14:65" x14ac:dyDescent="0.3">
      <c r="N416" s="11">
        <v>98</v>
      </c>
      <c r="O416" s="52">
        <f t="shared" si="359"/>
        <v>95499.258602143804</v>
      </c>
      <c r="P416" s="50" t="str">
        <f t="shared" si="360"/>
        <v>23.3035714285714</v>
      </c>
      <c r="Q416" s="18" t="str">
        <f t="shared" si="361"/>
        <v>1+227.586424957949i</v>
      </c>
      <c r="R416" s="18">
        <f t="shared" si="372"/>
        <v>227.58862191493702</v>
      </c>
      <c r="S416" s="18">
        <f t="shared" si="373"/>
        <v>1.5664024198880859</v>
      </c>
      <c r="T416" s="18" t="str">
        <f t="shared" si="362"/>
        <v>1+1.0620699831371i</v>
      </c>
      <c r="U416" s="18">
        <f t="shared" si="374"/>
        <v>1.458764082736081</v>
      </c>
      <c r="V416" s="18">
        <f t="shared" si="375"/>
        <v>0.81548989038759478</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-0.157255034203874-0.154513492657891i</v>
      </c>
      <c r="AD416" s="66">
        <f t="shared" si="381"/>
        <v>-13.133318729583925</v>
      </c>
      <c r="AE416" s="63">
        <f t="shared" si="382"/>
        <v>-135.50381837114887</v>
      </c>
      <c r="AF416" s="51" t="e">
        <f t="shared" si="383"/>
        <v>#NUM!</v>
      </c>
      <c r="AG416" s="51" t="str">
        <f t="shared" si="365"/>
        <v>1-318.620994941129i</v>
      </c>
      <c r="AH416" s="51">
        <f t="shared" si="384"/>
        <v>318.62256419983032</v>
      </c>
      <c r="AI416" s="51">
        <f t="shared" si="385"/>
        <v>-1.5676578119686608</v>
      </c>
      <c r="AJ416" s="51" t="str">
        <f t="shared" si="366"/>
        <v>1+1.0620699831371i</v>
      </c>
      <c r="AK416" s="51">
        <f t="shared" si="386"/>
        <v>1.458764082736081</v>
      </c>
      <c r="AL416" s="51">
        <f t="shared" si="387"/>
        <v>0.81548989038759478</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0.0253226683826587-0.0173943463919539i</v>
      </c>
      <c r="BG416" s="66">
        <f t="shared" si="403"/>
        <v>-30.251196494720645</v>
      </c>
      <c r="BH416" s="63">
        <f t="shared" si="404"/>
        <v>-34.485488478075624</v>
      </c>
      <c r="BI416" s="60" t="e">
        <f t="shared" si="357"/>
        <v>#NUM!</v>
      </c>
      <c r="BJ416" s="66" t="e">
        <f t="shared" si="405"/>
        <v>#NUM!</v>
      </c>
      <c r="BK416" s="63" t="e">
        <f t="shared" si="358"/>
        <v>#NUM!</v>
      </c>
      <c r="BL416" s="51">
        <f t="shared" si="406"/>
        <v>-30.251196494720645</v>
      </c>
      <c r="BM416" s="63">
        <f t="shared" si="407"/>
        <v>-34.485488478075624</v>
      </c>
    </row>
    <row r="417" spans="14:65" x14ac:dyDescent="0.3">
      <c r="N417" s="11">
        <v>99</v>
      </c>
      <c r="O417" s="52">
        <f t="shared" si="359"/>
        <v>97723.722095581266</v>
      </c>
      <c r="P417" s="50" t="str">
        <f t="shared" si="360"/>
        <v>23.3035714285714</v>
      </c>
      <c r="Q417" s="18" t="str">
        <f t="shared" si="361"/>
        <v>1+232.887593797699i</v>
      </c>
      <c r="R417" s="18">
        <f t="shared" si="372"/>
        <v>232.8897407463069</v>
      </c>
      <c r="S417" s="18">
        <f t="shared" si="373"/>
        <v>1.5665024361764515</v>
      </c>
      <c r="T417" s="18" t="str">
        <f t="shared" si="362"/>
        <v>1+1.08680877105593i</v>
      </c>
      <c r="U417" s="18">
        <f t="shared" si="374"/>
        <v>1.476872812683645</v>
      </c>
      <c r="V417" s="18">
        <f t="shared" si="375"/>
        <v>0.82697300777696581</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-0.158646210936886-0.152418158354114i</v>
      </c>
      <c r="AD417" s="66">
        <f t="shared" si="381"/>
        <v>-13.151553989037808</v>
      </c>
      <c r="AE417" s="63">
        <f t="shared" si="382"/>
        <v>-136.14700843914312</v>
      </c>
      <c r="AF417" s="51" t="e">
        <f t="shared" si="383"/>
        <v>#NUM!</v>
      </c>
      <c r="AG417" s="51" t="str">
        <f t="shared" si="365"/>
        <v>1-326.042631316779i</v>
      </c>
      <c r="AH417" s="51">
        <f t="shared" si="384"/>
        <v>326.04416485496114</v>
      </c>
      <c r="AI417" s="51">
        <f t="shared" si="385"/>
        <v>-1.5677292528349307</v>
      </c>
      <c r="AJ417" s="51" t="str">
        <f t="shared" si="366"/>
        <v>1+1.08680877105593i</v>
      </c>
      <c r="AK417" s="51">
        <f t="shared" si="386"/>
        <v>1.476872812683645</v>
      </c>
      <c r="AL417" s="51">
        <f t="shared" si="387"/>
        <v>0.82697300777696581</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0.0244511465389329-0.0173588656286896i</v>
      </c>
      <c r="BG417" s="66">
        <f t="shared" si="403"/>
        <v>-30.461491193893977</v>
      </c>
      <c r="BH417" s="63">
        <f t="shared" si="404"/>
        <v>-35.372495259710568</v>
      </c>
      <c r="BI417" s="60" t="e">
        <f t="shared" si="357"/>
        <v>#NUM!</v>
      </c>
      <c r="BJ417" s="66" t="e">
        <f t="shared" si="405"/>
        <v>#NUM!</v>
      </c>
      <c r="BK417" s="63" t="e">
        <f t="shared" si="358"/>
        <v>#NUM!</v>
      </c>
      <c r="BL417" s="51">
        <f t="shared" si="406"/>
        <v>-30.461491193893977</v>
      </c>
      <c r="BM417" s="63">
        <f t="shared" si="407"/>
        <v>-35.372495259710568</v>
      </c>
    </row>
    <row r="418" spans="14:65" x14ac:dyDescent="0.3">
      <c r="N418" s="11">
        <v>100</v>
      </c>
      <c r="O418" s="52">
        <f t="shared" si="359"/>
        <v>100000</v>
      </c>
      <c r="P418" s="50" t="str">
        <f t="shared" si="360"/>
        <v>23.3035714285714</v>
      </c>
      <c r="Q418" s="18" t="str">
        <f t="shared" si="361"/>
        <v>1+238.312242722312i</v>
      </c>
      <c r="R418" s="18">
        <f t="shared" si="372"/>
        <v>238.31434080083838</v>
      </c>
      <c r="S418" s="18">
        <f t="shared" si="373"/>
        <v>1.5666001758991539</v>
      </c>
      <c r="T418" s="18" t="str">
        <f t="shared" si="362"/>
        <v>1+1.11212379937079i</v>
      </c>
      <c r="U418" s="18">
        <f t="shared" si="374"/>
        <v>1.4955999950277219</v>
      </c>
      <c r="V418" s="18">
        <f t="shared" si="375"/>
        <v>0.83843418887257282</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-0.160058750747852-0.1503430243794i</v>
      </c>
      <c r="AD418" s="66">
        <f t="shared" si="381"/>
        <v>-13.167563243100354</v>
      </c>
      <c r="AE418" s="63">
        <f t="shared" si="382"/>
        <v>-136.79280040742509</v>
      </c>
      <c r="AF418" s="51" t="e">
        <f t="shared" si="383"/>
        <v>#NUM!</v>
      </c>
      <c r="AG418" s="51" t="str">
        <f t="shared" si="365"/>
        <v>1-333.637139811237i</v>
      </c>
      <c r="AH418" s="51">
        <f t="shared" si="384"/>
        <v>333.63863844198698</v>
      </c>
      <c r="AI418" s="51">
        <f t="shared" si="385"/>
        <v>-1.5677990675387989</v>
      </c>
      <c r="AJ418" s="51" t="str">
        <f t="shared" si="366"/>
        <v>1+1.11212379937079i</v>
      </c>
      <c r="AK418" s="51">
        <f t="shared" si="386"/>
        <v>1.4955999950277219</v>
      </c>
      <c r="AL418" s="51">
        <f t="shared" si="387"/>
        <v>0.83843418887257282</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0.0236069790109506-0.0173137924163638i</v>
      </c>
      <c r="BG418" s="66">
        <f t="shared" si="403"/>
        <v>-30.6699036161233</v>
      </c>
      <c r="BH418" s="63">
        <f t="shared" si="404"/>
        <v>-36.257006526107091</v>
      </c>
      <c r="BI418" s="60" t="e">
        <f t="shared" si="357"/>
        <v>#NUM!</v>
      </c>
      <c r="BJ418" s="66" t="e">
        <f t="shared" si="405"/>
        <v>#NUM!</v>
      </c>
      <c r="BK418" s="63" t="e">
        <f t="shared" si="358"/>
        <v>#NUM!</v>
      </c>
      <c r="BL418" s="51">
        <f t="shared" si="406"/>
        <v>-30.6699036161233</v>
      </c>
      <c r="BM418" s="63">
        <f t="shared" si="407"/>
        <v>-36.257006526107091</v>
      </c>
    </row>
    <row r="419" spans="14:65" x14ac:dyDescent="0.3">
      <c r="N419" s="11">
        <v>1</v>
      </c>
      <c r="O419" s="52">
        <f>10^(5+(N419/100))</f>
        <v>102329.29922807543</v>
      </c>
      <c r="P419" s="50" t="str">
        <f t="shared" si="360"/>
        <v>23.3035714285714</v>
      </c>
      <c r="Q419" s="18" t="str">
        <f t="shared" si="361"/>
        <v>1+243.863247952452i</v>
      </c>
      <c r="R419" s="18">
        <f t="shared" si="372"/>
        <v>243.86529827328673</v>
      </c>
      <c r="S419" s="18">
        <f t="shared" si="373"/>
        <v>1.5666956908716145</v>
      </c>
      <c r="T419" s="18" t="str">
        <f t="shared" si="362"/>
        <v>1+1.13802849044477i</v>
      </c>
      <c r="U419" s="18">
        <f t="shared" si="374"/>
        <v>1.5149616645526056</v>
      </c>
      <c r="V419" s="18">
        <f t="shared" si="375"/>
        <v>0.84986746733260532</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-0.161491678573531-0.148285487380198i</v>
      </c>
      <c r="AD419" s="66">
        <f t="shared" si="381"/>
        <v>-13.181426101761444</v>
      </c>
      <c r="AE419" s="63">
        <f t="shared" si="382"/>
        <v>-137.44111319666959</v>
      </c>
      <c r="AF419" s="51" t="e">
        <f t="shared" si="383"/>
        <v>#NUM!</v>
      </c>
      <c r="AG419" s="51" t="str">
        <f t="shared" si="365"/>
        <v>1-341.408547133433i</v>
      </c>
      <c r="AH419" s="51">
        <f t="shared" si="384"/>
        <v>341.41001165133042</v>
      </c>
      <c r="AI419" s="51">
        <f t="shared" si="385"/>
        <v>-1.5678672930942219</v>
      </c>
      <c r="AJ419" s="51" t="str">
        <f t="shared" si="366"/>
        <v>1+1.13802849044477i</v>
      </c>
      <c r="AK419" s="51">
        <f t="shared" si="386"/>
        <v>1.5149616645526056</v>
      </c>
      <c r="AL419" s="51">
        <f t="shared" si="387"/>
        <v>0.84986746733260532</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0.0227891196106793-0.0172596908641234i</v>
      </c>
      <c r="BG419" s="66">
        <f t="shared" si="403"/>
        <v>-30.876499058816815</v>
      </c>
      <c r="BH419" s="63">
        <f t="shared" si="404"/>
        <v>-37.139028510246959</v>
      </c>
      <c r="BI419" s="60" t="e">
        <f t="shared" si="357"/>
        <v>#NUM!</v>
      </c>
      <c r="BJ419" s="66" t="e">
        <f t="shared" si="405"/>
        <v>#NUM!</v>
      </c>
      <c r="BK419" s="63" t="e">
        <f t="shared" si="358"/>
        <v>#NUM!</v>
      </c>
      <c r="BL419" s="51">
        <f t="shared" si="406"/>
        <v>-30.876499058816815</v>
      </c>
      <c r="BM419" s="63">
        <f t="shared" si="407"/>
        <v>-37.139028510246959</v>
      </c>
    </row>
    <row r="420" spans="14:65" x14ac:dyDescent="0.3">
      <c r="N420" s="11">
        <v>2</v>
      </c>
      <c r="O420" s="52">
        <f t="shared" ref="O420:O483" si="408">10^(5+(N420/100))</f>
        <v>104712.85480508996</v>
      </c>
      <c r="P420" s="50" t="str">
        <f t="shared" si="360"/>
        <v>23.3035714285714</v>
      </c>
      <c r="Q420" s="18" t="str">
        <f t="shared" si="361"/>
        <v>1+249.543552704568i</v>
      </c>
      <c r="R420" s="18">
        <f t="shared" si="372"/>
        <v>249.54555635478164</v>
      </c>
      <c r="S420" s="18">
        <f t="shared" si="373"/>
        <v>1.5667890317301607</v>
      </c>
      <c r="T420" s="18" t="str">
        <f t="shared" si="362"/>
        <v>1+1.16453657928798i</v>
      </c>
      <c r="U420" s="18">
        <f t="shared" si="374"/>
        <v>1.534974085937528</v>
      </c>
      <c r="V420" s="18">
        <f t="shared" si="375"/>
        <v>0.8612669497276102</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-0.162943933856646-0.146243005675181i</v>
      </c>
      <c r="AD420" s="66">
        <f t="shared" si="381"/>
        <v>-13.193224236661914</v>
      </c>
      <c r="AE420" s="63">
        <f t="shared" si="382"/>
        <v>-138.09186308999924</v>
      </c>
      <c r="AF420" s="51" t="e">
        <f t="shared" si="383"/>
        <v>#NUM!</v>
      </c>
      <c r="AG420" s="51" t="str">
        <f t="shared" si="365"/>
        <v>1-349.360973786396i</v>
      </c>
      <c r="AH420" s="51">
        <f t="shared" si="384"/>
        <v>349.36240496793431</v>
      </c>
      <c r="AI420" s="51">
        <f t="shared" si="385"/>
        <v>-1.56793396567275</v>
      </c>
      <c r="AJ420" s="51" t="str">
        <f t="shared" si="366"/>
        <v>1+1.16453657928798i</v>
      </c>
      <c r="AK420" s="51">
        <f t="shared" si="386"/>
        <v>1.534974085937528</v>
      </c>
      <c r="AL420" s="51">
        <f t="shared" si="387"/>
        <v>0.8612669497276102</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0.0219965664876042-0.0171970817906654i</v>
      </c>
      <c r="BG420" s="66">
        <f t="shared" si="403"/>
        <v>-31.081345428791494</v>
      </c>
      <c r="BH420" s="63">
        <f t="shared" si="404"/>
        <v>-38.01856458226171</v>
      </c>
      <c r="BI420" s="60" t="e">
        <f t="shared" si="357"/>
        <v>#NUM!</v>
      </c>
      <c r="BJ420" s="66" t="e">
        <f t="shared" si="405"/>
        <v>#NUM!</v>
      </c>
      <c r="BK420" s="63" t="e">
        <f t="shared" si="358"/>
        <v>#NUM!</v>
      </c>
      <c r="BL420" s="51">
        <f t="shared" si="406"/>
        <v>-31.081345428791494</v>
      </c>
      <c r="BM420" s="63">
        <f t="shared" si="407"/>
        <v>-38.01856458226171</v>
      </c>
    </row>
    <row r="421" spans="14:65" x14ac:dyDescent="0.3">
      <c r="N421" s="11">
        <v>3</v>
      </c>
      <c r="O421" s="52">
        <f t="shared" si="408"/>
        <v>107151.93052376082</v>
      </c>
      <c r="P421" s="50" t="str">
        <f t="shared" si="360"/>
        <v>23.3035714285714</v>
      </c>
      <c r="Q421" s="18" t="str">
        <f t="shared" si="361"/>
        <v>1+255.356168751428i</v>
      </c>
      <c r="R421" s="18">
        <f t="shared" si="372"/>
        <v>255.35812679334836</v>
      </c>
      <c r="S421" s="18">
        <f t="shared" si="373"/>
        <v>1.5668802479588413</v>
      </c>
      <c r="T421" s="18" t="str">
        <f t="shared" si="362"/>
        <v>1+1.19166212084i</v>
      </c>
      <c r="U421" s="18">
        <f t="shared" si="374"/>
        <v>1.5556537565425306</v>
      </c>
      <c r="V421" s="18">
        <f t="shared" si="375"/>
        <v>0.87262683036943645</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-0.164414372080284-0.14421310475595i</v>
      </c>
      <c r="AD421" s="66">
        <f t="shared" si="381"/>
        <v>-13.203041107358908</v>
      </c>
      <c r="AE421" s="63">
        <f t="shared" si="382"/>
        <v>-138.74496342606679</v>
      </c>
      <c r="AF421" s="51" t="e">
        <f t="shared" si="383"/>
        <v>#NUM!</v>
      </c>
      <c r="AG421" s="51" t="str">
        <f t="shared" si="365"/>
        <v>1-357.498636251999i</v>
      </c>
      <c r="AH421" s="51">
        <f t="shared" si="384"/>
        <v>357.50003485599706</v>
      </c>
      <c r="AI421" s="51">
        <f t="shared" si="385"/>
        <v>-1.5679991206226946</v>
      </c>
      <c r="AJ421" s="51" t="str">
        <f t="shared" si="366"/>
        <v>1+1.19166212084i</v>
      </c>
      <c r="AK421" s="51">
        <f t="shared" si="386"/>
        <v>1.5556537565425306</v>
      </c>
      <c r="AL421" s="51">
        <f t="shared" si="387"/>
        <v>0.87262683036943645</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0.0212283615975563-0.0171264460655954i</v>
      </c>
      <c r="BG421" s="66">
        <f t="shared" si="403"/>
        <v>-31.284512951696804</v>
      </c>
      <c r="BH421" s="63">
        <f t="shared" si="404"/>
        <v>-38.895614845872267</v>
      </c>
      <c r="BI421" s="60" t="e">
        <f t="shared" si="357"/>
        <v>#NUM!</v>
      </c>
      <c r="BJ421" s="66" t="e">
        <f t="shared" si="405"/>
        <v>#NUM!</v>
      </c>
      <c r="BK421" s="63" t="e">
        <f t="shared" si="358"/>
        <v>#NUM!</v>
      </c>
      <c r="BL421" s="51">
        <f t="shared" si="406"/>
        <v>-31.284512951696804</v>
      </c>
      <c r="BM421" s="63">
        <f t="shared" si="407"/>
        <v>-38.895614845872267</v>
      </c>
    </row>
    <row r="422" spans="14:65" x14ac:dyDescent="0.3">
      <c r="N422" s="11">
        <v>4</v>
      </c>
      <c r="O422" s="52">
        <f t="shared" si="408"/>
        <v>109647.81961431868</v>
      </c>
      <c r="P422" s="50" t="str">
        <f t="shared" si="360"/>
        <v>23.3035714285714</v>
      </c>
      <c r="Q422" s="18" t="str">
        <f t="shared" si="361"/>
        <v>1+261.304178018997i</v>
      </c>
      <c r="R422" s="18">
        <f t="shared" si="372"/>
        <v>261.30609149077191</v>
      </c>
      <c r="S422" s="18">
        <f t="shared" si="373"/>
        <v>1.5669693879156332</v>
      </c>
      <c r="T422" s="18" t="str">
        <f t="shared" si="362"/>
        <v>1+1.21941949742199i</v>
      </c>
      <c r="U422" s="18">
        <f t="shared" si="374"/>
        <v>1.577017409762143</v>
      </c>
      <c r="V422" s="18">
        <f t="shared" si="375"/>
        <v>0.88394140559012213</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-0.165901766841071-0.142193382758507i</v>
      </c>
      <c r="AD422" s="66">
        <f t="shared" si="381"/>
        <v>-13.210961682320262</v>
      </c>
      <c r="AE422" s="63">
        <f t="shared" si="382"/>
        <v>-139.40032432721705</v>
      </c>
      <c r="AF422" s="51" t="e">
        <f t="shared" si="383"/>
        <v>#NUM!</v>
      </c>
      <c r="AG422" s="51" t="str">
        <f t="shared" si="365"/>
        <v>1-365.825849226597i</v>
      </c>
      <c r="AH422" s="51">
        <f t="shared" si="384"/>
        <v>365.82721599460154</v>
      </c>
      <c r="AI422" s="51">
        <f t="shared" si="385"/>
        <v>-1.5680627924878587</v>
      </c>
      <c r="AJ422" s="51" t="str">
        <f t="shared" si="366"/>
        <v>1+1.21941949742199i</v>
      </c>
      <c r="AK422" s="51">
        <f t="shared" si="386"/>
        <v>1.577017409762143</v>
      </c>
      <c r="AL422" s="51">
        <f t="shared" si="387"/>
        <v>0.88394140559012213</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0.0204835900387144-0.0170482278265836i</v>
      </c>
      <c r="BG422" s="66">
        <f t="shared" si="403"/>
        <v>-31.486073876320361</v>
      </c>
      <c r="BH422" s="63">
        <f t="shared" si="404"/>
        <v>-39.770175777312751</v>
      </c>
      <c r="BI422" s="60" t="e">
        <f t="shared" si="357"/>
        <v>#NUM!</v>
      </c>
      <c r="BJ422" s="66" t="e">
        <f t="shared" si="405"/>
        <v>#NUM!</v>
      </c>
      <c r="BK422" s="63" t="e">
        <f t="shared" si="358"/>
        <v>#NUM!</v>
      </c>
      <c r="BL422" s="51">
        <f t="shared" si="406"/>
        <v>-31.486073876320361</v>
      </c>
      <c r="BM422" s="63">
        <f t="shared" si="407"/>
        <v>-39.770175777312751</v>
      </c>
    </row>
    <row r="423" spans="14:65" x14ac:dyDescent="0.3">
      <c r="N423" s="11">
        <v>5</v>
      </c>
      <c r="O423" s="52">
        <f t="shared" si="408"/>
        <v>112201.84543019651</v>
      </c>
      <c r="P423" s="50" t="str">
        <f t="shared" si="360"/>
        <v>23.3035714285714</v>
      </c>
      <c r="Q423" s="18" t="str">
        <f t="shared" si="361"/>
        <v>1+267.390734220523i</v>
      </c>
      <c r="R423" s="18">
        <f t="shared" si="372"/>
        <v>267.39260413667085</v>
      </c>
      <c r="S423" s="18">
        <f t="shared" si="373"/>
        <v>1.567056498858052</v>
      </c>
      <c r="T423" s="18" t="str">
        <f t="shared" si="362"/>
        <v>1+1.24782342636244i</v>
      </c>
      <c r="U423" s="18">
        <f t="shared" si="374"/>
        <v>1.5990820189655373</v>
      </c>
      <c r="V423" s="18">
        <f t="shared" si="375"/>
        <v>0.89520508738849813</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-0.167404812465031-0.140181515849762i</v>
      </c>
      <c r="AD423" s="66">
        <f t="shared" si="381"/>
        <v>-13.217072156557579</v>
      </c>
      <c r="AE423" s="63">
        <f t="shared" si="382"/>
        <v>-140.05785246863263</v>
      </c>
      <c r="AF423" s="51" t="e">
        <f t="shared" si="383"/>
        <v>#NUM!</v>
      </c>
      <c r="AG423" s="51" t="str">
        <f t="shared" si="365"/>
        <v>1-374.347027908733i</v>
      </c>
      <c r="AH423" s="51">
        <f t="shared" si="384"/>
        <v>374.34836356541183</v>
      </c>
      <c r="AI423" s="51">
        <f t="shared" si="385"/>
        <v>-1.5681250150258417</v>
      </c>
      <c r="AJ423" s="51" t="str">
        <f t="shared" si="366"/>
        <v>1+1.24782342636244i</v>
      </c>
      <c r="AK423" s="51">
        <f t="shared" si="386"/>
        <v>1.5990820189655373</v>
      </c>
      <c r="AL423" s="51">
        <f t="shared" si="387"/>
        <v>0.89520508738849813</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0.0197613792631394-0.0169628375684922i</v>
      </c>
      <c r="BG423" s="66">
        <f t="shared" si="403"/>
        <v>-31.686102175719675</v>
      </c>
      <c r="BH423" s="63">
        <f t="shared" si="404"/>
        <v>-40.64223991228554</v>
      </c>
      <c r="BI423" s="60" t="e">
        <f t="shared" si="357"/>
        <v>#NUM!</v>
      </c>
      <c r="BJ423" s="66" t="e">
        <f t="shared" si="405"/>
        <v>#NUM!</v>
      </c>
      <c r="BK423" s="63" t="e">
        <f t="shared" si="358"/>
        <v>#NUM!</v>
      </c>
      <c r="BL423" s="51">
        <f t="shared" si="406"/>
        <v>-31.686102175719675</v>
      </c>
      <c r="BM423" s="63">
        <f t="shared" si="407"/>
        <v>-40.64223991228554</v>
      </c>
    </row>
    <row r="424" spans="14:65" x14ac:dyDescent="0.3">
      <c r="N424" s="11">
        <v>6</v>
      </c>
      <c r="O424" s="52">
        <f t="shared" si="408"/>
        <v>114815.36214968823</v>
      </c>
      <c r="P424" s="50" t="str">
        <f t="shared" si="360"/>
        <v>23.3035714285714</v>
      </c>
      <c r="Q424" s="18" t="str">
        <f t="shared" si="361"/>
        <v>1+273.619064528666i</v>
      </c>
      <c r="R424" s="18">
        <f t="shared" si="372"/>
        <v>273.62089188061333</v>
      </c>
      <c r="S424" s="18">
        <f t="shared" si="373"/>
        <v>1.5671416269681806</v>
      </c>
      <c r="T424" s="18" t="str">
        <f t="shared" si="362"/>
        <v>1+1.27688896780044i</v>
      </c>
      <c r="U424" s="18">
        <f t="shared" si="374"/>
        <v>1.6218648020382196</v>
      </c>
      <c r="V424" s="18">
        <f t="shared" si="375"/>
        <v>0.9064124163693964</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-0.16892212716368-0.138175263472033i</v>
      </c>
      <c r="AD424" s="66">
        <f t="shared" si="381"/>
        <v>-13.221459667826434</v>
      </c>
      <c r="AE424" s="63">
        <f t="shared" si="382"/>
        <v>-140.71745089373326</v>
      </c>
      <c r="AF424" s="51" t="e">
        <f t="shared" si="383"/>
        <v>#NUM!</v>
      </c>
      <c r="AG424" s="51" t="str">
        <f t="shared" si="365"/>
        <v>1-383.066690340133i</v>
      </c>
      <c r="AH424" s="51">
        <f t="shared" si="384"/>
        <v>383.06799559365874</v>
      </c>
      <c r="AI424" s="51">
        <f t="shared" si="385"/>
        <v>-1.5681858212259283</v>
      </c>
      <c r="AJ424" s="51" t="str">
        <f t="shared" si="366"/>
        <v>1+1.27688896780044i</v>
      </c>
      <c r="AK424" s="51">
        <f t="shared" si="386"/>
        <v>1.6218648020382196</v>
      </c>
      <c r="AL424" s="51">
        <f t="shared" si="387"/>
        <v>0.9064124163693964</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0.0190608981722632-0.0168706551008279i</v>
      </c>
      <c r="BG424" s="66">
        <f t="shared" si="403"/>
        <v>-31.884673247143983</v>
      </c>
      <c r="BH424" s="63">
        <f t="shared" si="404"/>
        <v>-41.511795585858742</v>
      </c>
      <c r="BI424" s="60" t="e">
        <f t="shared" si="357"/>
        <v>#NUM!</v>
      </c>
      <c r="BJ424" s="66" t="e">
        <f t="shared" si="405"/>
        <v>#NUM!</v>
      </c>
      <c r="BK424" s="63" t="e">
        <f t="shared" si="358"/>
        <v>#NUM!</v>
      </c>
      <c r="BL424" s="51">
        <f t="shared" si="406"/>
        <v>-31.884673247143983</v>
      </c>
      <c r="BM424" s="63">
        <f t="shared" si="407"/>
        <v>-41.511795585858742</v>
      </c>
    </row>
    <row r="425" spans="14:65" x14ac:dyDescent="0.3">
      <c r="N425" s="11">
        <v>7</v>
      </c>
      <c r="O425" s="52">
        <f t="shared" si="408"/>
        <v>117489.75549395311</v>
      </c>
      <c r="P425" s="50" t="str">
        <f t="shared" si="360"/>
        <v>23.3035714285714</v>
      </c>
      <c r="Q425" s="18" t="str">
        <f t="shared" si="361"/>
        <v>1+279.9924712866i</v>
      </c>
      <c r="R425" s="18">
        <f t="shared" si="372"/>
        <v>279.99425704320709</v>
      </c>
      <c r="S425" s="18">
        <f t="shared" si="373"/>
        <v>1.5672248173771322</v>
      </c>
      <c r="T425" s="18" t="str">
        <f t="shared" si="362"/>
        <v>1+1.3066315326708i</v>
      </c>
      <c r="U425" s="18">
        <f t="shared" si="374"/>
        <v>1.645383226537102</v>
      </c>
      <c r="V425" s="18">
        <f t="shared" si="375"/>
        <v>0.91755807390838784</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-0.17045225672126-0.13617247338791i</v>
      </c>
      <c r="AD425" s="66">
        <f t="shared" si="381"/>
        <v>-13.224212013322932</v>
      </c>
      <c r="AE425" s="63">
        <f t="shared" si="382"/>
        <v>-141.37901888038306</v>
      </c>
      <c r="AF425" s="51" t="e">
        <f t="shared" si="383"/>
        <v>#NUM!</v>
      </c>
      <c r="AG425" s="51" t="str">
        <f t="shared" si="365"/>
        <v>1-391.989459801241i</v>
      </c>
      <c r="AH425" s="51">
        <f t="shared" si="384"/>
        <v>391.99073534366693</v>
      </c>
      <c r="AI425" s="51">
        <f t="shared" si="385"/>
        <v>-1.5682452433265712</v>
      </c>
      <c r="AJ425" s="51" t="str">
        <f t="shared" si="366"/>
        <v>1+1.3066315326708i</v>
      </c>
      <c r="AK425" s="51">
        <f t="shared" si="386"/>
        <v>1.645383226537102</v>
      </c>
      <c r="AL425" s="51">
        <f t="shared" si="387"/>
        <v>0.91755807390838784</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0.0183813561048852-0.0167720323701073i</v>
      </c>
      <c r="BG425" s="66">
        <f t="shared" si="403"/>
        <v>-32.081863612700865</v>
      </c>
      <c r="BH425" s="63">
        <f t="shared" si="404"/>
        <v>-42.378826729511779</v>
      </c>
      <c r="BI425" s="60" t="e">
        <f t="shared" si="357"/>
        <v>#NUM!</v>
      </c>
      <c r="BJ425" s="66" t="e">
        <f t="shared" si="405"/>
        <v>#NUM!</v>
      </c>
      <c r="BK425" s="63" t="e">
        <f t="shared" si="358"/>
        <v>#NUM!</v>
      </c>
      <c r="BL425" s="51">
        <f t="shared" si="406"/>
        <v>-32.081863612700865</v>
      </c>
      <c r="BM425" s="63">
        <f t="shared" si="407"/>
        <v>-42.378826729511779</v>
      </c>
    </row>
    <row r="426" spans="14:65" x14ac:dyDescent="0.3">
      <c r="N426" s="11">
        <v>8</v>
      </c>
      <c r="O426" s="52">
        <f t="shared" si="408"/>
        <v>120226.44346174144</v>
      </c>
      <c r="P426" s="50" t="str">
        <f t="shared" si="360"/>
        <v>23.3035714285714</v>
      </c>
      <c r="Q426" s="18" t="str">
        <f t="shared" si="361"/>
        <v>1+286.514333758948i</v>
      </c>
      <c r="R426" s="18">
        <f t="shared" si="372"/>
        <v>286.51607886702249</v>
      </c>
      <c r="S426" s="18">
        <f t="shared" si="373"/>
        <v>1.5673061141889542</v>
      </c>
      <c r="T426" s="18" t="str">
        <f t="shared" si="362"/>
        <v>1+1.33706689087509i</v>
      </c>
      <c r="U426" s="18">
        <f t="shared" si="374"/>
        <v>1.6696550154670815</v>
      </c>
      <c r="V426" s="18">
        <f t="shared" si="375"/>
        <v>0.92863689348330003</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-0.171993678697235-0.134171086468227i</v>
      </c>
      <c r="AD426" s="66">
        <f t="shared" si="381"/>
        <v>-13.225417368782288</v>
      </c>
      <c r="AE426" s="63">
        <f t="shared" si="382"/>
        <v>-142.04245186165545</v>
      </c>
      <c r="AF426" s="51" t="e">
        <f t="shared" si="383"/>
        <v>#NUM!</v>
      </c>
      <c r="AG426" s="51" t="str">
        <f t="shared" si="365"/>
        <v>1-401.120067262528i</v>
      </c>
      <c r="AH426" s="51">
        <f t="shared" si="384"/>
        <v>401.12131377015481</v>
      </c>
      <c r="AI426" s="51">
        <f t="shared" si="385"/>
        <v>-1.568303312832475</v>
      </c>
      <c r="AJ426" s="51" t="str">
        <f t="shared" si="366"/>
        <v>1+1.33706689087509i</v>
      </c>
      <c r="AK426" s="51">
        <f t="shared" si="386"/>
        <v>1.6696550154670815</v>
      </c>
      <c r="AL426" s="51">
        <f t="shared" si="387"/>
        <v>0.92863689348330003</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0.0177220017263873-0.0166672961439796i</v>
      </c>
      <c r="BG426" s="66">
        <f t="shared" si="403"/>
        <v>-32.27775062269987</v>
      </c>
      <c r="BH426" s="63">
        <f t="shared" si="404"/>
        <v>-43.24331272874268</v>
      </c>
      <c r="BI426" s="60" t="e">
        <f t="shared" si="357"/>
        <v>#NUM!</v>
      </c>
      <c r="BJ426" s="66" t="e">
        <f t="shared" si="405"/>
        <v>#NUM!</v>
      </c>
      <c r="BK426" s="63" t="e">
        <f t="shared" si="358"/>
        <v>#NUM!</v>
      </c>
      <c r="BL426" s="51">
        <f t="shared" si="406"/>
        <v>-32.27775062269987</v>
      </c>
      <c r="BM426" s="63">
        <f t="shared" si="407"/>
        <v>-43.24331272874268</v>
      </c>
    </row>
    <row r="427" spans="14:65" x14ac:dyDescent="0.3">
      <c r="N427" s="11">
        <v>9</v>
      </c>
      <c r="O427" s="52">
        <f t="shared" si="408"/>
        <v>123026.87708123829</v>
      </c>
      <c r="P427" s="50" t="str">
        <f t="shared" si="360"/>
        <v>23.3035714285714</v>
      </c>
      <c r="Q427" s="18" t="str">
        <f t="shared" si="361"/>
        <v>1+293.18810992352i</v>
      </c>
      <c r="R427" s="18">
        <f t="shared" si="372"/>
        <v>293.18981530831877</v>
      </c>
      <c r="S427" s="18">
        <f t="shared" si="373"/>
        <v>1.5673855605039912</v>
      </c>
      <c r="T427" s="18" t="str">
        <f t="shared" si="362"/>
        <v>1+1.3682111796431i</v>
      </c>
      <c r="U427" s="18">
        <f t="shared" si="374"/>
        <v>1.6946981536841195</v>
      </c>
      <c r="V427" s="18">
        <f t="shared" si="375"/>
        <v>0.93964387112277981</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-0.173544807121313-0.132169141167061i</v>
      </c>
      <c r="AD427" s="66">
        <f t="shared" si="381"/>
        <v>-13.225164011844432</v>
      </c>
      <c r="AE427" s="63">
        <f t="shared" si="382"/>
        <v>-142.70764140405072</v>
      </c>
      <c r="AF427" s="51" t="e">
        <f t="shared" si="383"/>
        <v>#NUM!</v>
      </c>
      <c r="AG427" s="51" t="str">
        <f t="shared" si="365"/>
        <v>1-410.463353892929i</v>
      </c>
      <c r="AH427" s="51">
        <f t="shared" si="384"/>
        <v>410.46457202666329</v>
      </c>
      <c r="AI427" s="51">
        <f t="shared" si="385"/>
        <v>-1.5683600605312933</v>
      </c>
      <c r="AJ427" s="51" t="str">
        <f t="shared" si="366"/>
        <v>1+1.3682111796431i</v>
      </c>
      <c r="AK427" s="51">
        <f t="shared" si="386"/>
        <v>1.6946981536841195</v>
      </c>
      <c r="AL427" s="51">
        <f t="shared" si="387"/>
        <v>0.93964387112277981</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0.0170821218280768-0.0165567505542675i</v>
      </c>
      <c r="BG427" s="66">
        <f t="shared" si="403"/>
        <v>-32.472412163557934</v>
      </c>
      <c r="BH427" s="63">
        <f t="shared" si="404"/>
        <v>-44.10522834380167</v>
      </c>
      <c r="BI427" s="60" t="e">
        <f t="shared" si="357"/>
        <v>#NUM!</v>
      </c>
      <c r="BJ427" s="66" t="e">
        <f t="shared" si="405"/>
        <v>#NUM!</v>
      </c>
      <c r="BK427" s="63" t="e">
        <f t="shared" si="358"/>
        <v>#NUM!</v>
      </c>
      <c r="BL427" s="51">
        <f t="shared" si="406"/>
        <v>-32.472412163557934</v>
      </c>
      <c r="BM427" s="63">
        <f t="shared" si="407"/>
        <v>-44.10522834380167</v>
      </c>
    </row>
    <row r="428" spans="14:65" x14ac:dyDescent="0.3">
      <c r="N428" s="11">
        <v>10</v>
      </c>
      <c r="O428" s="52">
        <f t="shared" si="408"/>
        <v>125892.54117941685</v>
      </c>
      <c r="P428" s="50" t="str">
        <f t="shared" si="360"/>
        <v>23.3035714285714</v>
      </c>
      <c r="Q428" s="18" t="str">
        <f t="shared" si="361"/>
        <v>1+300.017338304778i</v>
      </c>
      <c r="R428" s="18">
        <f t="shared" si="372"/>
        <v>300.0190048704975</v>
      </c>
      <c r="S428" s="18">
        <f t="shared" si="373"/>
        <v>1.5674631984417173</v>
      </c>
      <c r="T428" s="18" t="str">
        <f t="shared" si="362"/>
        <v>1+1.40008091208896i</v>
      </c>
      <c r="U428" s="18">
        <f t="shared" si="374"/>
        <v>1.7205308949262881</v>
      </c>
      <c r="V428" s="18">
        <f t="shared" si="375"/>
        <v>0.95057417493120178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-0.175103997651476-0.130164777629779i</v>
      </c>
      <c r="AD428" s="66">
        <f t="shared" si="381"/>
        <v>-13.223540051490829</v>
      </c>
      <c r="AE428" s="63">
        <f t="shared" si="382"/>
        <v>-143.37447524516139</v>
      </c>
      <c r="AF428" s="51" t="e">
        <f t="shared" si="383"/>
        <v>#NUM!</v>
      </c>
      <c r="AG428" s="51" t="str">
        <f t="shared" si="365"/>
        <v>1-420.02427362669i</v>
      </c>
      <c r="AH428" s="51">
        <f t="shared" si="384"/>
        <v>420.02546403239478</v>
      </c>
      <c r="AI428" s="51">
        <f t="shared" si="385"/>
        <v>-1.5684155165099443</v>
      </c>
      <c r="AJ428" s="51" t="str">
        <f t="shared" si="366"/>
        <v>1+1.40008091208896i</v>
      </c>
      <c r="AK428" s="51">
        <f t="shared" si="386"/>
        <v>1.7205308949262881</v>
      </c>
      <c r="AL428" s="51">
        <f t="shared" si="387"/>
        <v>0.95057417493120178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0.0164610400457691-0.016440679496451i</v>
      </c>
      <c r="BG428" s="66">
        <f t="shared" si="403"/>
        <v>-32.665926372089999</v>
      </c>
      <c r="BH428" s="63">
        <f t="shared" si="404"/>
        <v>-44.964543695228905</v>
      </c>
      <c r="BI428" s="60" t="e">
        <f t="shared" si="357"/>
        <v>#NUM!</v>
      </c>
      <c r="BJ428" s="66" t="e">
        <f t="shared" si="405"/>
        <v>#NUM!</v>
      </c>
      <c r="BK428" s="63" t="e">
        <f t="shared" si="358"/>
        <v>#NUM!</v>
      </c>
      <c r="BL428" s="51">
        <f t="shared" si="406"/>
        <v>-32.665926372089999</v>
      </c>
      <c r="BM428" s="63">
        <f t="shared" si="407"/>
        <v>-44.964543695228905</v>
      </c>
    </row>
    <row r="429" spans="14:65" x14ac:dyDescent="0.3">
      <c r="N429" s="11">
        <v>11</v>
      </c>
      <c r="O429" s="52">
        <f t="shared" si="408"/>
        <v>128824.95516931375</v>
      </c>
      <c r="P429" s="50" t="str">
        <f t="shared" si="360"/>
        <v>23.3035714285714</v>
      </c>
      <c r="Q429" s="18" t="str">
        <f t="shared" si="361"/>
        <v>1+307.005639850004i</v>
      </c>
      <c r="R429" s="18">
        <f t="shared" si="372"/>
        <v>307.00726848025988</v>
      </c>
      <c r="S429" s="18">
        <f t="shared" si="373"/>
        <v>1.5675390691630489</v>
      </c>
      <c r="T429" s="18" t="str">
        <f t="shared" si="362"/>
        <v>1+1.43269298596669i</v>
      </c>
      <c r="U429" s="18">
        <f t="shared" si="374"/>
        <v>1.7471717694714937</v>
      </c>
      <c r="V429" s="18">
        <f t="shared" si="375"/>
        <v>0.96142315365868103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-0.176669553158964-0.128156241383267i</v>
      </c>
      <c r="AD429" s="66">
        <f t="shared" si="381"/>
        <v>-13.220633165273997</v>
      </c>
      <c r="AE429" s="63">
        <f t="shared" si="382"/>
        <v>-144.04283739184021</v>
      </c>
      <c r="AF429" s="51" t="e">
        <f t="shared" si="383"/>
        <v>#NUM!</v>
      </c>
      <c r="AG429" s="51" t="str">
        <f t="shared" si="365"/>
        <v>1-429.807895790006i</v>
      </c>
      <c r="AH429" s="51">
        <f t="shared" si="384"/>
        <v>429.80905909884297</v>
      </c>
      <c r="AI429" s="51">
        <f t="shared" si="385"/>
        <v>-1.5684697101705565</v>
      </c>
      <c r="AJ429" s="51" t="str">
        <f t="shared" si="366"/>
        <v>1+1.43269298596669i</v>
      </c>
      <c r="AK429" s="51">
        <f t="shared" si="386"/>
        <v>1.7471717694714937</v>
      </c>
      <c r="AL429" s="51">
        <f t="shared" si="387"/>
        <v>0.96142315365868103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0.015858115506951-0.0163193488835536i</v>
      </c>
      <c r="BG429" s="66">
        <f t="shared" si="403"/>
        <v>-32.858371357919779</v>
      </c>
      <c r="BH429" s="63">
        <f t="shared" si="404"/>
        <v>-45.821224314944018</v>
      </c>
      <c r="BI429" s="60" t="e">
        <f t="shared" si="357"/>
        <v>#NUM!</v>
      </c>
      <c r="BJ429" s="66" t="e">
        <f t="shared" si="405"/>
        <v>#NUM!</v>
      </c>
      <c r="BK429" s="63" t="e">
        <f t="shared" si="358"/>
        <v>#NUM!</v>
      </c>
      <c r="BL429" s="51">
        <f t="shared" si="406"/>
        <v>-32.858371357919779</v>
      </c>
      <c r="BM429" s="63">
        <f t="shared" si="407"/>
        <v>-45.821224314944018</v>
      </c>
    </row>
    <row r="430" spans="14:65" x14ac:dyDescent="0.3">
      <c r="N430" s="11">
        <v>12</v>
      </c>
      <c r="O430" s="52">
        <f t="shared" si="408"/>
        <v>131825.67385564081</v>
      </c>
      <c r="P430" s="50" t="str">
        <f t="shared" si="360"/>
        <v>23.3035714285714</v>
      </c>
      <c r="Q430" s="18" t="str">
        <f t="shared" si="361"/>
        <v>1+314.156719849177i</v>
      </c>
      <c r="R430" s="18">
        <f t="shared" si="372"/>
        <v>314.15831140747224</v>
      </c>
      <c r="S430" s="18">
        <f t="shared" si="373"/>
        <v>1.5676132128921505</v>
      </c>
      <c r="T430" s="18" t="str">
        <f t="shared" si="362"/>
        <v>1+1.46606469262949i</v>
      </c>
      <c r="U430" s="18">
        <f t="shared" si="374"/>
        <v>1.7746395924172325</v>
      </c>
      <c r="V430" s="18">
        <f t="shared" si="375"/>
        <v>0.97218634429404049</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-0.178239729697935-0.126141886561253i</v>
      </c>
      <c r="AD430" s="66">
        <f t="shared" si="381"/>
        <v>-13.216530345967037</v>
      </c>
      <c r="AE430" s="63">
        <f t="shared" si="382"/>
        <v>-144.71260827901645</v>
      </c>
      <c r="AF430" s="51" t="e">
        <f t="shared" si="383"/>
        <v>#NUM!</v>
      </c>
      <c r="AG430" s="51" t="str">
        <f t="shared" si="365"/>
        <v>1-439.819407788849i</v>
      </c>
      <c r="AH430" s="51">
        <f t="shared" si="384"/>
        <v>439.82054461761317</v>
      </c>
      <c r="AI430" s="51">
        <f t="shared" si="385"/>
        <v>-1.5685226702460522</v>
      </c>
      <c r="AJ430" s="51" t="str">
        <f t="shared" si="366"/>
        <v>1+1.46606469262949i</v>
      </c>
      <c r="AK430" s="51">
        <f t="shared" si="386"/>
        <v>1.7746395924172325</v>
      </c>
      <c r="AL430" s="51">
        <f t="shared" si="387"/>
        <v>0.97218634429404049</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0.0152727414160486-0.0161930087528774i</v>
      </c>
      <c r="BG430" s="66">
        <f t="shared" si="403"/>
        <v>-33.04982493565123</v>
      </c>
      <c r="BH430" s="63">
        <f t="shared" si="404"/>
        <v>-46.675231262738457</v>
      </c>
      <c r="BI430" s="60" t="e">
        <f t="shared" si="357"/>
        <v>#NUM!</v>
      </c>
      <c r="BJ430" s="66" t="e">
        <f t="shared" si="405"/>
        <v>#NUM!</v>
      </c>
      <c r="BK430" s="63" t="e">
        <f t="shared" si="358"/>
        <v>#NUM!</v>
      </c>
      <c r="BL430" s="51">
        <f t="shared" si="406"/>
        <v>-33.04982493565123</v>
      </c>
      <c r="BM430" s="63">
        <f t="shared" si="407"/>
        <v>-46.675231262738457</v>
      </c>
    </row>
    <row r="431" spans="14:65" x14ac:dyDescent="0.3">
      <c r="N431" s="11">
        <v>13</v>
      </c>
      <c r="O431" s="52">
        <f t="shared" si="408"/>
        <v>134896.28825916545</v>
      </c>
      <c r="P431" s="50" t="str">
        <f t="shared" si="360"/>
        <v>23.3035714285714</v>
      </c>
      <c r="Q431" s="18" t="str">
        <f t="shared" si="361"/>
        <v>1+321.474369899571i</v>
      </c>
      <c r="R431" s="18">
        <f t="shared" si="372"/>
        <v>321.47592522975367</v>
      </c>
      <c r="S431" s="18">
        <f t="shared" si="373"/>
        <v>1.5676856689377465</v>
      </c>
      <c r="T431" s="18" t="str">
        <f t="shared" si="362"/>
        <v>1+1.500213726198i</v>
      </c>
      <c r="U431" s="18">
        <f t="shared" si="374"/>
        <v>1.8029534725757312</v>
      </c>
      <c r="V431" s="18">
        <f t="shared" si="375"/>
        <v>0.98285947866800838</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-0.179812742811806-0.12412017862255i</v>
      </c>
      <c r="AD431" s="66">
        <f t="shared" si="381"/>
        <v>-13.211317659142372</v>
      </c>
      <c r="AE431" s="63">
        <f t="shared" si="382"/>
        <v>-145.38366498835529</v>
      </c>
      <c r="AF431" s="51" t="e">
        <f t="shared" si="383"/>
        <v>#NUM!</v>
      </c>
      <c r="AG431" s="51" t="str">
        <f t="shared" si="365"/>
        <v>1-450.064117859401i</v>
      </c>
      <c r="AH431" s="51">
        <f t="shared" si="384"/>
        <v>450.06522881084771</v>
      </c>
      <c r="AI431" s="51">
        <f t="shared" si="385"/>
        <v>-1.5685744248153752</v>
      </c>
      <c r="AJ431" s="51" t="str">
        <f t="shared" si="366"/>
        <v>1+1.500213726198i</v>
      </c>
      <c r="AK431" s="51">
        <f t="shared" si="386"/>
        <v>1.8029534725757312</v>
      </c>
      <c r="AL431" s="51">
        <f t="shared" si="387"/>
        <v>0.98285947866800838</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0.0147043435875216-0.0160618952245855i</v>
      </c>
      <c r="BG431" s="66">
        <f t="shared" si="403"/>
        <v>-33.240364368320108</v>
      </c>
      <c r="BH431" s="63">
        <f t="shared" si="404"/>
        <v>-47.5265213070765</v>
      </c>
      <c r="BI431" s="60" t="e">
        <f t="shared" si="357"/>
        <v>#NUM!</v>
      </c>
      <c r="BJ431" s="66" t="e">
        <f t="shared" si="405"/>
        <v>#NUM!</v>
      </c>
      <c r="BK431" s="63" t="e">
        <f t="shared" si="358"/>
        <v>#NUM!</v>
      </c>
      <c r="BL431" s="51">
        <f t="shared" si="406"/>
        <v>-33.240364368320108</v>
      </c>
      <c r="BM431" s="63">
        <f t="shared" si="407"/>
        <v>-47.5265213070765</v>
      </c>
    </row>
    <row r="432" spans="14:65" x14ac:dyDescent="0.3">
      <c r="N432" s="11">
        <v>14</v>
      </c>
      <c r="O432" s="52">
        <f t="shared" si="408"/>
        <v>138038.42646028858</v>
      </c>
      <c r="P432" s="50" t="str">
        <f t="shared" si="360"/>
        <v>23.3035714285714</v>
      </c>
      <c r="Q432" s="18" t="str">
        <f t="shared" si="361"/>
        <v>1+328.962469916102i</v>
      </c>
      <c r="R432" s="18">
        <f t="shared" si="372"/>
        <v>328.96398984281291</v>
      </c>
      <c r="S432" s="18">
        <f t="shared" si="373"/>
        <v>1.5677564757139462</v>
      </c>
      <c r="T432" s="18" t="str">
        <f t="shared" si="362"/>
        <v>1+1.53515819294181i</v>
      </c>
      <c r="U432" s="18">
        <f t="shared" si="374"/>
        <v>1.8321328219745325</v>
      </c>
      <c r="V432" s="18">
        <f t="shared" si="375"/>
        <v>0.99343848906244581</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-0.18138677412312-0.122089696525413i</v>
      </c>
      <c r="AD432" s="66">
        <f t="shared" si="381"/>
        <v>-13.20508001306564</v>
      </c>
      <c r="AE432" s="63">
        <f t="shared" si="382"/>
        <v>-146.05588152509006</v>
      </c>
      <c r="AF432" s="51" t="e">
        <f t="shared" si="383"/>
        <v>#NUM!</v>
      </c>
      <c r="AG432" s="51" t="str">
        <f t="shared" si="365"/>
        <v>1-460.547457882544i</v>
      </c>
      <c r="AH432" s="51">
        <f t="shared" si="384"/>
        <v>460.54854354570881</v>
      </c>
      <c r="AI432" s="51">
        <f t="shared" si="385"/>
        <v>-1.568625001318374</v>
      </c>
      <c r="AJ432" s="51" t="str">
        <f t="shared" si="366"/>
        <v>1+1.53515819294181i</v>
      </c>
      <c r="AK432" s="51">
        <f t="shared" si="386"/>
        <v>1.8321328219745325</v>
      </c>
      <c r="AL432" s="51">
        <f t="shared" si="387"/>
        <v>0.99343848906244581</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0.0141523789366267-0.0159262323117442i</v>
      </c>
      <c r="BG432" s="66">
        <f t="shared" si="403"/>
        <v>-33.43006612351796</v>
      </c>
      <c r="BH432" s="63">
        <f t="shared" si="404"/>
        <v>-48.375047168268878</v>
      </c>
      <c r="BI432" s="60" t="e">
        <f t="shared" si="357"/>
        <v>#NUM!</v>
      </c>
      <c r="BJ432" s="66" t="e">
        <f t="shared" si="405"/>
        <v>#NUM!</v>
      </c>
      <c r="BK432" s="63" t="e">
        <f t="shared" si="358"/>
        <v>#NUM!</v>
      </c>
      <c r="BL432" s="51">
        <f t="shared" si="406"/>
        <v>-33.43006612351796</v>
      </c>
      <c r="BM432" s="63">
        <f t="shared" si="407"/>
        <v>-48.375047168268878</v>
      </c>
    </row>
    <row r="433" spans="14:65" x14ac:dyDescent="0.3">
      <c r="N433" s="11">
        <v>15</v>
      </c>
      <c r="O433" s="52">
        <f t="shared" si="408"/>
        <v>141253.75446227577</v>
      </c>
      <c r="P433" s="50" t="str">
        <f t="shared" si="360"/>
        <v>23.3035714285714</v>
      </c>
      <c r="Q433" s="18" t="str">
        <f t="shared" si="361"/>
        <v>1+336.624990188517i</v>
      </c>
      <c r="R433" s="18">
        <f t="shared" si="372"/>
        <v>336.62647551762649</v>
      </c>
      <c r="S433" s="18">
        <f t="shared" si="373"/>
        <v>1.5678256707605982</v>
      </c>
      <c r="T433" s="18" t="str">
        <f t="shared" si="362"/>
        <v>1+1.57091662087974i</v>
      </c>
      <c r="U433" s="18">
        <f t="shared" si="374"/>
        <v>1.8621973659513702</v>
      </c>
      <c r="V433" s="18">
        <f t="shared" si="375"/>
        <v>1.0039195128302687</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-0.182959978149453-0.120049134327551i</v>
      </c>
      <c r="AD433" s="66">
        <f t="shared" si="381"/>
        <v>-13.197900942144232</v>
      </c>
      <c r="AE433" s="63">
        <f t="shared" si="382"/>
        <v>-146.72912915049363</v>
      </c>
      <c r="AF433" s="51" t="e">
        <f t="shared" si="383"/>
        <v>#NUM!</v>
      </c>
      <c r="AG433" s="51" t="str">
        <f t="shared" si="365"/>
        <v>1-471.274986263924i</v>
      </c>
      <c r="AH433" s="51">
        <f t="shared" si="384"/>
        <v>471.27604721443436</v>
      </c>
      <c r="AI433" s="51">
        <f t="shared" si="385"/>
        <v>-1.5686744265703443</v>
      </c>
      <c r="AJ433" s="51" t="str">
        <f t="shared" si="366"/>
        <v>1+1.57091662087974i</v>
      </c>
      <c r="AK433" s="51">
        <f t="shared" si="386"/>
        <v>1.8621973659513702</v>
      </c>
      <c r="AL433" s="51">
        <f t="shared" si="387"/>
        <v>1.0039195128302687</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0.0136163339377957-0.0157862335820989i</v>
      </c>
      <c r="BG433" s="66">
        <f t="shared" si="403"/>
        <v>-33.619005643434356</v>
      </c>
      <c r="BH433" s="63">
        <f t="shared" si="404"/>
        <v>-49.220757821218108</v>
      </c>
      <c r="BI433" s="60" t="e">
        <f t="shared" si="357"/>
        <v>#NUM!</v>
      </c>
      <c r="BJ433" s="66" t="e">
        <f t="shared" si="405"/>
        <v>#NUM!</v>
      </c>
      <c r="BK433" s="63" t="e">
        <f t="shared" si="358"/>
        <v>#NUM!</v>
      </c>
      <c r="BL433" s="51">
        <f t="shared" si="406"/>
        <v>-33.619005643434356</v>
      </c>
      <c r="BM433" s="63">
        <f t="shared" si="407"/>
        <v>-49.220757821218108</v>
      </c>
    </row>
    <row r="434" spans="14:65" x14ac:dyDescent="0.3">
      <c r="N434" s="11">
        <v>16</v>
      </c>
      <c r="O434" s="52">
        <f t="shared" si="408"/>
        <v>144543.97707459307</v>
      </c>
      <c r="P434" s="50" t="str">
        <f t="shared" si="360"/>
        <v>23.3035714285714</v>
      </c>
      <c r="Q434" s="18" t="str">
        <f t="shared" si="361"/>
        <v>1+344.465993486486i</v>
      </c>
      <c r="R434" s="18">
        <f t="shared" si="372"/>
        <v>344.46744500552126</v>
      </c>
      <c r="S434" s="18">
        <f t="shared" si="373"/>
        <v>1.56789329076318</v>
      </c>
      <c r="T434" s="18" t="str">
        <f t="shared" si="362"/>
        <v>1+1.6075079696036i</v>
      </c>
      <c r="U434" s="18">
        <f t="shared" si="374"/>
        <v>1.8931671538295525</v>
      </c>
      <c r="V434" s="18">
        <f t="shared" si="375"/>
        <v>1.0142988960384463</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-0.184530489284209-0.117997302188026i</v>
      </c>
      <c r="AD434" s="66">
        <f t="shared" si="381"/>
        <v>-13.18986240502403</v>
      </c>
      <c r="AE434" s="63">
        <f t="shared" si="382"/>
        <v>-147.40327676668144</v>
      </c>
      <c r="AF434" s="51" t="e">
        <f t="shared" si="383"/>
        <v>#NUM!</v>
      </c>
      <c r="AG434" s="51" t="str">
        <f t="shared" si="365"/>
        <v>1-482.252390881082i</v>
      </c>
      <c r="AH434" s="51">
        <f t="shared" si="384"/>
        <v>482.25342768146282</v>
      </c>
      <c r="AI434" s="51">
        <f t="shared" si="385"/>
        <v>-1.568722726776242</v>
      </c>
      <c r="AJ434" s="51" t="str">
        <f t="shared" si="366"/>
        <v>1+1.6075079696036i</v>
      </c>
      <c r="AK434" s="51">
        <f t="shared" si="386"/>
        <v>1.8931671538295525</v>
      </c>
      <c r="AL434" s="51">
        <f t="shared" si="387"/>
        <v>1.0142988960384463</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0.0130957230605843-0.0156421036725585i</v>
      </c>
      <c r="BG434" s="66">
        <f t="shared" si="403"/>
        <v>-33.807257129914987</v>
      </c>
      <c r="BH434" s="63">
        <f t="shared" si="404"/>
        <v>-50.063598854178295</v>
      </c>
      <c r="BI434" s="60" t="e">
        <f t="shared" ref="BI434:BI497" si="409">IMPRODUCT(AP434,BC434)</f>
        <v>#NUM!</v>
      </c>
      <c r="BJ434" s="66" t="e">
        <f t="shared" si="405"/>
        <v>#NUM!</v>
      </c>
      <c r="BK434" s="63" t="e">
        <f t="shared" ref="BK434:BK497" si="410">(180/PI())*IMARGUMENT(BI434)</f>
        <v>#NUM!</v>
      </c>
      <c r="BL434" s="51">
        <f t="shared" si="406"/>
        <v>-33.807257129914987</v>
      </c>
      <c r="BM434" s="63">
        <f t="shared" si="407"/>
        <v>-50.063598854178295</v>
      </c>
    </row>
    <row r="435" spans="14:65" x14ac:dyDescent="0.3">
      <c r="N435" s="11">
        <v>17</v>
      </c>
      <c r="O435" s="52">
        <f t="shared" si="408"/>
        <v>147910.83881682079</v>
      </c>
      <c r="P435" s="50" t="str">
        <f t="shared" si="360"/>
        <v>23.3035714285714</v>
      </c>
      <c r="Q435" s="18" t="str">
        <f t="shared" si="361"/>
        <v>1+352.489637213749i</v>
      </c>
      <c r="R435" s="18">
        <f t="shared" si="372"/>
        <v>352.49105569231165</v>
      </c>
      <c r="S435" s="18">
        <f t="shared" si="373"/>
        <v>1.5679593715722371</v>
      </c>
      <c r="T435" s="18" t="str">
        <f t="shared" si="362"/>
        <v>1+1.64495164033083i</v>
      </c>
      <c r="U435" s="18">
        <f t="shared" si="374"/>
        <v>1.9250625701589772</v>
      </c>
      <c r="V435" s="18">
        <f t="shared" si="375"/>
        <v>1.0245731961540809</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-0.186096428878475-0.115933126754557i</v>
      </c>
      <c r="AD435" s="66">
        <f t="shared" si="381"/>
        <v>-13.181044598267498</v>
      </c>
      <c r="AE435" s="63">
        <f t="shared" si="382"/>
        <v>-148.07819134971885</v>
      </c>
      <c r="AF435" s="51" t="e">
        <f t="shared" si="383"/>
        <v>#NUM!</v>
      </c>
      <c r="AG435" s="51" t="str">
        <f t="shared" si="365"/>
        <v>1-493.485492099249i</v>
      </c>
      <c r="AH435" s="51">
        <f t="shared" si="384"/>
        <v>493.48650529922082</v>
      </c>
      <c r="AI435" s="51">
        <f t="shared" si="385"/>
        <v>-1.5687699275445741</v>
      </c>
      <c r="AJ435" s="51" t="str">
        <f t="shared" si="366"/>
        <v>1+1.64495164033083i</v>
      </c>
      <c r="AK435" s="51">
        <f t="shared" si="386"/>
        <v>1.9250625701589772</v>
      </c>
      <c r="AL435" s="51">
        <f t="shared" si="387"/>
        <v>1.0245731961540809</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0.0125900871931038-0.0154940396581048i</v>
      </c>
      <c r="BG435" s="66">
        <f t="shared" si="403"/>
        <v>-33.994893345470203</v>
      </c>
      <c r="BH435" s="63">
        <f t="shared" si="404"/>
        <v>-50.90351287926859</v>
      </c>
      <c r="BI435" s="60" t="e">
        <f t="shared" si="409"/>
        <v>#NUM!</v>
      </c>
      <c r="BJ435" s="66" t="e">
        <f t="shared" si="405"/>
        <v>#NUM!</v>
      </c>
      <c r="BK435" s="63" t="e">
        <f t="shared" si="410"/>
        <v>#NUM!</v>
      </c>
      <c r="BL435" s="51">
        <f t="shared" si="406"/>
        <v>-33.994893345470203</v>
      </c>
      <c r="BM435" s="63">
        <f t="shared" si="407"/>
        <v>-50.90351287926859</v>
      </c>
    </row>
    <row r="436" spans="14:65" x14ac:dyDescent="0.3">
      <c r="N436" s="11">
        <v>18</v>
      </c>
      <c r="O436" s="52">
        <f t="shared" si="408"/>
        <v>151356.12484362084</v>
      </c>
      <c r="P436" s="50" t="str">
        <f t="shared" si="360"/>
        <v>23.3035714285714</v>
      </c>
      <c r="Q436" s="18" t="str">
        <f t="shared" si="361"/>
        <v>1+360.700175612415i</v>
      </c>
      <c r="R436" s="18">
        <f t="shared" si="372"/>
        <v>360.7015618025892</v>
      </c>
      <c r="S436" s="18">
        <f t="shared" si="373"/>
        <v>1.5680239482223794</v>
      </c>
      <c r="T436" s="18" t="str">
        <f t="shared" si="362"/>
        <v>1+1.68326748619127i</v>
      </c>
      <c r="U436" s="18">
        <f t="shared" si="374"/>
        <v>1.9579043465064059</v>
      </c>
      <c r="V436" s="18">
        <f t="shared" si="375"/>
        <v>1.034739183800307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-0.18765591235848-0.113855650927363i</v>
      </c>
      <c r="AD436" s="66">
        <f t="shared" si="381"/>
        <v>-13.171525786377625</v>
      </c>
      <c r="AE436" s="63">
        <f t="shared" si="382"/>
        <v>-148.75373842638578</v>
      </c>
      <c r="AF436" s="51" t="e">
        <f t="shared" si="383"/>
        <v>#NUM!</v>
      </c>
      <c r="AG436" s="51" t="str">
        <f t="shared" si="365"/>
        <v>1-504.980245857382i</v>
      </c>
      <c r="AH436" s="51">
        <f t="shared" si="384"/>
        <v>504.98123599415243</v>
      </c>
      <c r="AI436" s="51">
        <f t="shared" si="385"/>
        <v>-1.5688160539009708</v>
      </c>
      <c r="AJ436" s="51" t="str">
        <f t="shared" si="366"/>
        <v>1+1.68326748619127i</v>
      </c>
      <c r="AK436" s="51">
        <f t="shared" si="386"/>
        <v>1.9579043465064059</v>
      </c>
      <c r="AL436" s="51">
        <f t="shared" si="387"/>
        <v>1.034739183800307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0.0120989920627237-0.0153422322776077i</v>
      </c>
      <c r="BG436" s="66">
        <f t="shared" si="403"/>
        <v>-34.18198543099934</v>
      </c>
      <c r="BH436" s="63">
        <f t="shared" si="404"/>
        <v>-51.740439989860214</v>
      </c>
      <c r="BI436" s="60" t="e">
        <f t="shared" si="409"/>
        <v>#NUM!</v>
      </c>
      <c r="BJ436" s="66" t="e">
        <f t="shared" si="405"/>
        <v>#NUM!</v>
      </c>
      <c r="BK436" s="63" t="e">
        <f t="shared" si="410"/>
        <v>#NUM!</v>
      </c>
      <c r="BL436" s="51">
        <f t="shared" si="406"/>
        <v>-34.18198543099934</v>
      </c>
      <c r="BM436" s="63">
        <f t="shared" si="407"/>
        <v>-51.740439989860214</v>
      </c>
    </row>
    <row r="437" spans="14:65" x14ac:dyDescent="0.3">
      <c r="N437" s="11">
        <v>19</v>
      </c>
      <c r="O437" s="52">
        <f t="shared" si="408"/>
        <v>154881.66189124843</v>
      </c>
      <c r="P437" s="50" t="str">
        <f t="shared" si="360"/>
        <v>23.3035714285714</v>
      </c>
      <c r="Q437" s="18" t="str">
        <f t="shared" si="361"/>
        <v>1+369.101962018622i</v>
      </c>
      <c r="R437" s="18">
        <f t="shared" si="372"/>
        <v>369.10331665537262</v>
      </c>
      <c r="S437" s="18">
        <f t="shared" si="373"/>
        <v>1.5680870549508461</v>
      </c>
      <c r="T437" s="18" t="str">
        <f t="shared" si="362"/>
        <v>1+1.72247582275357i</v>
      </c>
      <c r="U437" s="18">
        <f t="shared" si="374"/>
        <v>1.9917135737777629</v>
      </c>
      <c r="V437" s="18">
        <f t="shared" si="375"/>
        <v>1.0447938436148998</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-0.189207056312315-0.111764032998353i</v>
      </c>
      <c r="AD437" s="66">
        <f t="shared" si="381"/>
        <v>-13.161382148771636</v>
      </c>
      <c r="AE437" s="63">
        <f t="shared" si="382"/>
        <v>-149.42978258940983</v>
      </c>
      <c r="AF437" s="51" t="e">
        <f t="shared" si="383"/>
        <v>#NUM!</v>
      </c>
      <c r="AG437" s="51" t="str">
        <f t="shared" si="365"/>
        <v>1-516.742746826072i</v>
      </c>
      <c r="AH437" s="51">
        <f t="shared" si="384"/>
        <v>516.74371442462075</v>
      </c>
      <c r="AI437" s="51">
        <f t="shared" si="385"/>
        <v>-1.5688611303014512</v>
      </c>
      <c r="AJ437" s="51" t="str">
        <f t="shared" si="366"/>
        <v>1+1.72247582275357i</v>
      </c>
      <c r="AK437" s="51">
        <f t="shared" si="386"/>
        <v>1.9917135737777629</v>
      </c>
      <c r="AL437" s="51">
        <f t="shared" si="387"/>
        <v>1.0447938436148998</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0.0116220266636054-0.0151868670197797i</v>
      </c>
      <c r="BG437" s="66">
        <f t="shared" si="403"/>
        <v>-34.368602740834348</v>
      </c>
      <c r="BH437" s="63">
        <f t="shared" si="404"/>
        <v>-52.574318259433888</v>
      </c>
      <c r="BI437" s="60" t="e">
        <f t="shared" si="409"/>
        <v>#NUM!</v>
      </c>
      <c r="BJ437" s="66" t="e">
        <f t="shared" si="405"/>
        <v>#NUM!</v>
      </c>
      <c r="BK437" s="63" t="e">
        <f t="shared" si="410"/>
        <v>#NUM!</v>
      </c>
      <c r="BL437" s="51">
        <f t="shared" si="406"/>
        <v>-34.368602740834348</v>
      </c>
      <c r="BM437" s="63">
        <f t="shared" si="407"/>
        <v>-52.574318259433888</v>
      </c>
    </row>
    <row r="438" spans="14:65" x14ac:dyDescent="0.3">
      <c r="N438" s="11">
        <v>20</v>
      </c>
      <c r="O438" s="52">
        <f t="shared" si="408"/>
        <v>158489.31924611164</v>
      </c>
      <c r="P438" s="50" t="str">
        <f t="shared" si="360"/>
        <v>23.3035714285714</v>
      </c>
      <c r="Q438" s="18" t="str">
        <f t="shared" si="361"/>
        <v>1+377.699451170733i</v>
      </c>
      <c r="R438" s="18">
        <f t="shared" si="372"/>
        <v>377.70077497229596</v>
      </c>
      <c r="S438" s="18">
        <f t="shared" si="373"/>
        <v>1.5681487252156483</v>
      </c>
      <c r="T438" s="18" t="str">
        <f t="shared" si="362"/>
        <v>1+1.76259743879675i</v>
      </c>
      <c r="U438" s="18">
        <f t="shared" si="374"/>
        <v>2.0265117150544336</v>
      </c>
      <c r="V438" s="18">
        <f t="shared" si="375"/>
        <v>1.0547343742498487</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-0.190747985480032-0.109657545172308i</v>
      </c>
      <c r="AD438" s="66">
        <f t="shared" si="381"/>
        <v>-13.150687644133026</v>
      </c>
      <c r="AE438" s="63">
        <f t="shared" si="382"/>
        <v>-150.10618804555915</v>
      </c>
      <c r="AF438" s="51" t="e">
        <f t="shared" si="383"/>
        <v>#NUM!</v>
      </c>
      <c r="AG438" s="51" t="str">
        <f t="shared" si="365"/>
        <v>1-528.779231639027i</v>
      </c>
      <c r="AH438" s="51">
        <f t="shared" si="384"/>
        <v>528.78017721238359</v>
      </c>
      <c r="AI438" s="51">
        <f t="shared" si="385"/>
        <v>-1.5689051806453864</v>
      </c>
      <c r="AJ438" s="51" t="str">
        <f t="shared" si="366"/>
        <v>1+1.76259743879675i</v>
      </c>
      <c r="AK438" s="51">
        <f t="shared" si="386"/>
        <v>2.0265117150544336</v>
      </c>
      <c r="AL438" s="51">
        <f t="shared" si="387"/>
        <v>1.0547343742498487</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0.0111588017003305-0.0150281250732794i</v>
      </c>
      <c r="BG438" s="66">
        <f t="shared" si="403"/>
        <v>-34.554812695529172</v>
      </c>
      <c r="BH438" s="63">
        <f t="shared" si="404"/>
        <v>-53.405084276093547</v>
      </c>
      <c r="BI438" s="60" t="e">
        <f t="shared" si="409"/>
        <v>#NUM!</v>
      </c>
      <c r="BJ438" s="66" t="e">
        <f t="shared" si="405"/>
        <v>#NUM!</v>
      </c>
      <c r="BK438" s="63" t="e">
        <f t="shared" si="410"/>
        <v>#NUM!</v>
      </c>
      <c r="BL438" s="51">
        <f t="shared" si="406"/>
        <v>-34.554812695529172</v>
      </c>
      <c r="BM438" s="63">
        <f t="shared" si="407"/>
        <v>-53.405084276093547</v>
      </c>
    </row>
    <row r="439" spans="14:65" x14ac:dyDescent="0.3">
      <c r="N439" s="11">
        <v>21</v>
      </c>
      <c r="O439" s="52">
        <f t="shared" si="408"/>
        <v>162181.00973589328</v>
      </c>
      <c r="P439" s="50" t="str">
        <f t="shared" si="360"/>
        <v>23.3035714285714</v>
      </c>
      <c r="Q439" s="18" t="str">
        <f t="shared" si="361"/>
        <v>1+386.497201571296i</v>
      </c>
      <c r="R439" s="18">
        <f t="shared" si="372"/>
        <v>386.49849523955845</v>
      </c>
      <c r="S439" s="18">
        <f t="shared" si="373"/>
        <v>1.5682089917132991</v>
      </c>
      <c r="T439" s="18" t="str">
        <f t="shared" si="362"/>
        <v>1+1.80365360733272i</v>
      </c>
      <c r="U439" s="18">
        <f t="shared" si="374"/>
        <v>2.0623206189252761</v>
      </c>
      <c r="V439" s="18">
        <f t="shared" si="375"/>
        <v>1.0645581875548347</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-0.192276839582479-0.107535571484411i</v>
      </c>
      <c r="AD439" s="66">
        <f t="shared" si="381"/>
        <v>-13.139513892405098</v>
      </c>
      <c r="AE439" s="63">
        <f t="shared" si="382"/>
        <v>-150.78281919063528</v>
      </c>
      <c r="AF439" s="51" t="e">
        <f t="shared" si="383"/>
        <v>#NUM!</v>
      </c>
      <c r="AG439" s="51" t="str">
        <f t="shared" si="365"/>
        <v>1-541.096082199816i</v>
      </c>
      <c r="AH439" s="51">
        <f t="shared" si="384"/>
        <v>541.09700624933237</v>
      </c>
      <c r="AI439" s="51">
        <f t="shared" si="385"/>
        <v>-1.5689482282881677</v>
      </c>
      <c r="AJ439" s="51" t="str">
        <f t="shared" si="366"/>
        <v>1+1.80365360733272i</v>
      </c>
      <c r="AK439" s="51">
        <f t="shared" si="386"/>
        <v>2.0623206189252761</v>
      </c>
      <c r="AL439" s="51">
        <f t="shared" si="387"/>
        <v>1.0645581875548347</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0.0107089480564942-0.0148661841457054i</v>
      </c>
      <c r="BG439" s="66">
        <f t="shared" si="403"/>
        <v>-34.740680652655158</v>
      </c>
      <c r="BH439" s="63">
        <f t="shared" si="404"/>
        <v>-54.232673706584073</v>
      </c>
      <c r="BI439" s="60" t="e">
        <f t="shared" si="409"/>
        <v>#NUM!</v>
      </c>
      <c r="BJ439" s="66" t="e">
        <f t="shared" si="405"/>
        <v>#NUM!</v>
      </c>
      <c r="BK439" s="63" t="e">
        <f t="shared" si="410"/>
        <v>#NUM!</v>
      </c>
      <c r="BL439" s="51">
        <f t="shared" si="406"/>
        <v>-34.740680652655158</v>
      </c>
      <c r="BM439" s="63">
        <f t="shared" si="407"/>
        <v>-54.232673706584073</v>
      </c>
    </row>
    <row r="440" spans="14:65" x14ac:dyDescent="0.3">
      <c r="N440" s="11">
        <v>22</v>
      </c>
      <c r="O440" s="52">
        <f t="shared" si="408"/>
        <v>165958.69074375604</v>
      </c>
      <c r="P440" s="50" t="str">
        <f t="shared" si="360"/>
        <v>23.3035714285714</v>
      </c>
      <c r="Q440" s="18" t="str">
        <f t="shared" si="361"/>
        <v>1+395.499877904031i</v>
      </c>
      <c r="R440" s="18">
        <f t="shared" si="372"/>
        <v>395.50114212490388</v>
      </c>
      <c r="S440" s="18">
        <f t="shared" si="373"/>
        <v>1.568267886396141</v>
      </c>
      <c r="T440" s="18" t="str">
        <f t="shared" si="362"/>
        <v>1+1.84566609688548i</v>
      </c>
      <c r="U440" s="18">
        <f t="shared" si="374"/>
        <v>2.0991625332957145</v>
      </c>
      <c r="V440" s="18">
        <f t="shared" si="375"/>
        <v>1.0742629069913794</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-0.193791779926519-0.105397605135792i</v>
      </c>
      <c r="AD440" s="66">
        <f t="shared" si="381"/>
        <v>-13.127930074527871</v>
      </c>
      <c r="AE440" s="63">
        <f t="shared" si="382"/>
        <v>-151.45954120520378</v>
      </c>
      <c r="AF440" s="51" t="e">
        <f t="shared" si="383"/>
        <v>#NUM!</v>
      </c>
      <c r="AG440" s="51" t="str">
        <f t="shared" si="365"/>
        <v>1-553.699829065644i</v>
      </c>
      <c r="AH440" s="51">
        <f t="shared" si="384"/>
        <v>553.70073208126018</v>
      </c>
      <c r="AI440" s="51">
        <f t="shared" si="385"/>
        <v>-1.5689902960535864</v>
      </c>
      <c r="AJ440" s="51" t="str">
        <f t="shared" si="366"/>
        <v>1+1.84566609688548i</v>
      </c>
      <c r="AK440" s="51">
        <f t="shared" si="386"/>
        <v>2.0991625332957145</v>
      </c>
      <c r="AL440" s="51">
        <f t="shared" si="387"/>
        <v>1.0742629069913794</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0.0102721152966469-0.0147012191569252i</v>
      </c>
      <c r="BG440" s="66">
        <f t="shared" si="403"/>
        <v>-34.926269795700591</v>
      </c>
      <c r="BH440" s="63">
        <f t="shared" si="404"/>
        <v>-55.057021883458269</v>
      </c>
      <c r="BI440" s="60" t="e">
        <f t="shared" si="409"/>
        <v>#NUM!</v>
      </c>
      <c r="BJ440" s="66" t="e">
        <f t="shared" si="405"/>
        <v>#NUM!</v>
      </c>
      <c r="BK440" s="63" t="e">
        <f t="shared" si="410"/>
        <v>#NUM!</v>
      </c>
      <c r="BL440" s="51">
        <f t="shared" si="406"/>
        <v>-34.926269795700591</v>
      </c>
      <c r="BM440" s="63">
        <f t="shared" si="407"/>
        <v>-55.057021883458269</v>
      </c>
    </row>
    <row r="441" spans="14:65" x14ac:dyDescent="0.3">
      <c r="N441" s="11">
        <v>23</v>
      </c>
      <c r="O441" s="52">
        <f t="shared" si="408"/>
        <v>169824.36524617471</v>
      </c>
      <c r="P441" s="50" t="str">
        <f t="shared" si="360"/>
        <v>23.3035714285714</v>
      </c>
      <c r="Q441" s="18" t="str">
        <f t="shared" si="361"/>
        <v>1+404.712253507087i</v>
      </c>
      <c r="R441" s="18">
        <f t="shared" si="372"/>
        <v>404.71348895086834</v>
      </c>
      <c r="S441" s="18">
        <f t="shared" si="373"/>
        <v>1.5683254404892795</v>
      </c>
      <c r="T441" s="18" t="str">
        <f t="shared" si="362"/>
        <v>1+1.88865718303307i</v>
      </c>
      <c r="U441" s="18">
        <f t="shared" si="374"/>
        <v>2.1370601196556009</v>
      </c>
      <c r="V441" s="18">
        <f t="shared" si="375"/>
        <v>1.083846365327622</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-0.195290995727579-0.103243245275907i</v>
      </c>
      <c r="AD441" s="66">
        <f t="shared" si="381"/>
        <v>-13.116002849857322</v>
      </c>
      <c r="AE441" s="63">
        <f t="shared" si="382"/>
        <v>-152.13622066475602</v>
      </c>
      <c r="AF441" s="51" t="e">
        <f t="shared" si="383"/>
        <v>#NUM!</v>
      </c>
      <c r="AG441" s="51" t="str">
        <f t="shared" si="365"/>
        <v>1-566.597154909923i</v>
      </c>
      <c r="AH441" s="51">
        <f t="shared" si="384"/>
        <v>566.5980373704266</v>
      </c>
      <c r="AI441" s="51">
        <f t="shared" si="385"/>
        <v>-1.5690314062459327</v>
      </c>
      <c r="AJ441" s="51" t="str">
        <f t="shared" si="366"/>
        <v>1+1.88865718303307i</v>
      </c>
      <c r="AK441" s="51">
        <f t="shared" si="386"/>
        <v>2.1370601196556009</v>
      </c>
      <c r="AL441" s="51">
        <f t="shared" si="387"/>
        <v>1.083846365327622</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0.00984797020941268-0.0145334028128478i</v>
      </c>
      <c r="BG441" s="66">
        <f t="shared" si="403"/>
        <v>-35.111641041008724</v>
      </c>
      <c r="BH441" s="63">
        <f t="shared" si="404"/>
        <v>-55.878064408919919</v>
      </c>
      <c r="BI441" s="60" t="e">
        <f t="shared" si="409"/>
        <v>#NUM!</v>
      </c>
      <c r="BJ441" s="66" t="e">
        <f t="shared" si="405"/>
        <v>#NUM!</v>
      </c>
      <c r="BK441" s="63" t="e">
        <f t="shared" si="410"/>
        <v>#NUM!</v>
      </c>
      <c r="BL441" s="51">
        <f t="shared" si="406"/>
        <v>-35.111641041008724</v>
      </c>
      <c r="BM441" s="63">
        <f t="shared" si="407"/>
        <v>-55.878064408919919</v>
      </c>
    </row>
    <row r="442" spans="14:65" x14ac:dyDescent="0.3">
      <c r="N442" s="11">
        <v>24</v>
      </c>
      <c r="O442" s="52">
        <f t="shared" si="408"/>
        <v>173780.0828749378</v>
      </c>
      <c r="P442" s="50" t="str">
        <f t="shared" si="360"/>
        <v>23.3035714285714</v>
      </c>
      <c r="Q442" s="18" t="str">
        <f t="shared" si="361"/>
        <v>1+414.139212903956i</v>
      </c>
      <c r="R442" s="18">
        <f t="shared" si="372"/>
        <v>414.14042022568651</v>
      </c>
      <c r="S442" s="18">
        <f t="shared" si="373"/>
        <v>1.5683816845071303</v>
      </c>
      <c r="T442" s="18" t="str">
        <f t="shared" si="362"/>
        <v>1+1.93264966021846i</v>
      </c>
      <c r="U442" s="18">
        <f t="shared" si="374"/>
        <v>2.1760364677878283</v>
      </c>
      <c r="V442" s="18">
        <f t="shared" si="375"/>
        <v>1.0933066016660682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-0.196772710094495-0.101072193266937i</v>
      </c>
      <c r="AD442" s="66">
        <f t="shared" si="381"/>
        <v>-13.103796291060764</v>
      </c>
      <c r="AE442" s="63">
        <f t="shared" si="382"/>
        <v>-152.81272615799472</v>
      </c>
      <c r="AF442" s="51" t="e">
        <f t="shared" si="383"/>
        <v>#NUM!</v>
      </c>
      <c r="AG442" s="51" t="str">
        <f t="shared" si="365"/>
        <v>1-579.79489806554i</v>
      </c>
      <c r="AH442" s="51">
        <f t="shared" si="384"/>
        <v>579.79576043882025</v>
      </c>
      <c r="AI442" s="51">
        <f t="shared" si="385"/>
        <v>-1.569071580661819</v>
      </c>
      <c r="AJ442" s="51" t="str">
        <f t="shared" si="366"/>
        <v>1+1.93264966021846i</v>
      </c>
      <c r="AK442" s="51">
        <f t="shared" si="386"/>
        <v>2.1760364677878283</v>
      </c>
      <c r="AL442" s="51">
        <f t="shared" si="387"/>
        <v>1.0933066016660682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0.00943619539896725-0.0143629060663367i</v>
      </c>
      <c r="BG442" s="66">
        <f t="shared" si="403"/>
        <v>-35.296852962542843</v>
      </c>
      <c r="BH442" s="63">
        <f t="shared" si="404"/>
        <v>-56.695737768865399</v>
      </c>
      <c r="BI442" s="60" t="e">
        <f t="shared" si="409"/>
        <v>#NUM!</v>
      </c>
      <c r="BJ442" s="66" t="e">
        <f t="shared" si="405"/>
        <v>#NUM!</v>
      </c>
      <c r="BK442" s="63" t="e">
        <f t="shared" si="410"/>
        <v>#NUM!</v>
      </c>
      <c r="BL442" s="51">
        <f t="shared" si="406"/>
        <v>-35.296852962542843</v>
      </c>
      <c r="BM442" s="63">
        <f t="shared" si="407"/>
        <v>-56.695737768865399</v>
      </c>
    </row>
    <row r="443" spans="14:65" x14ac:dyDescent="0.3">
      <c r="N443" s="11">
        <v>25</v>
      </c>
      <c r="O443" s="52">
        <f t="shared" si="408"/>
        <v>177827.94100389251</v>
      </c>
      <c r="P443" s="50" t="str">
        <f t="shared" si="360"/>
        <v>23.3035714285714</v>
      </c>
      <c r="Q443" s="18" t="str">
        <f t="shared" si="361"/>
        <v>1+423.785754393287i</v>
      </c>
      <c r="R443" s="18">
        <f t="shared" si="372"/>
        <v>423.7869342330971</v>
      </c>
      <c r="S443" s="18">
        <f t="shared" si="373"/>
        <v>1.5684366482695924</v>
      </c>
      <c r="T443" s="18" t="str">
        <f t="shared" si="362"/>
        <v>1+1.97766685383534i</v>
      </c>
      <c r="U443" s="18">
        <f t="shared" si="374"/>
        <v>2.2161151108999215</v>
      </c>
      <c r="V443" s="18">
        <f t="shared" si="375"/>
        <v>1.1026418578582631</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-0.198235185626548-0.0988842484713432i</v>
      </c>
      <c r="AD443" s="66">
        <f t="shared" si="381"/>
        <v>-13.091371836136867</v>
      </c>
      <c r="AE443" s="63">
        <f t="shared" si="382"/>
        <v>-153.48892890699858</v>
      </c>
      <c r="AF443" s="51" t="e">
        <f t="shared" si="383"/>
        <v>#NUM!</v>
      </c>
      <c r="AG443" s="51" t="str">
        <f t="shared" si="365"/>
        <v>1-593.300056150603i</v>
      </c>
      <c r="AH443" s="51">
        <f t="shared" si="384"/>
        <v>593.3008988938991</v>
      </c>
      <c r="AI443" s="51">
        <f t="shared" si="385"/>
        <v>-1.5691108406017327</v>
      </c>
      <c r="AJ443" s="51" t="str">
        <f t="shared" si="366"/>
        <v>1+1.97766685383534i</v>
      </c>
      <c r="AK443" s="51">
        <f t="shared" si="386"/>
        <v>2.2161151108999215</v>
      </c>
      <c r="AL443" s="51">
        <f t="shared" si="387"/>
        <v>1.1026418578582631</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0.00903648793136158-0.0141898984724894i</v>
      </c>
      <c r="BG443" s="66">
        <f t="shared" si="403"/>
        <v>-35.481961734120787</v>
      </c>
      <c r="BH443" s="63">
        <f t="shared" si="404"/>
        <v>-57.509979950722311</v>
      </c>
      <c r="BI443" s="60" t="e">
        <f t="shared" si="409"/>
        <v>#NUM!</v>
      </c>
      <c r="BJ443" s="66" t="e">
        <f t="shared" si="405"/>
        <v>#NUM!</v>
      </c>
      <c r="BK443" s="63" t="e">
        <f t="shared" si="410"/>
        <v>#NUM!</v>
      </c>
      <c r="BL443" s="51">
        <f t="shared" si="406"/>
        <v>-35.481961734120787</v>
      </c>
      <c r="BM443" s="63">
        <f t="shared" si="407"/>
        <v>-57.509979950722311</v>
      </c>
    </row>
    <row r="444" spans="14:65" x14ac:dyDescent="0.3">
      <c r="N444" s="11">
        <v>26</v>
      </c>
      <c r="O444" s="52">
        <f t="shared" si="408"/>
        <v>181970.08586099857</v>
      </c>
      <c r="P444" s="50" t="str">
        <f t="shared" si="360"/>
        <v>23.3035714285714</v>
      </c>
      <c r="Q444" s="18" t="str">
        <f t="shared" si="361"/>
        <v>1+433.65699269906i</v>
      </c>
      <c r="R444" s="18">
        <f t="shared" si="372"/>
        <v>433.65814568250943</v>
      </c>
      <c r="S444" s="18">
        <f t="shared" si="373"/>
        <v>1.5684903609178504</v>
      </c>
      <c r="T444" s="18" t="str">
        <f t="shared" si="362"/>
        <v>1+2.02373263259561i</v>
      </c>
      <c r="U444" s="18">
        <f t="shared" si="374"/>
        <v>2.2573200411621652</v>
      </c>
      <c r="V444" s="18">
        <f t="shared" si="375"/>
        <v>1.1118505743615141</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-0.199676729578034-0.096679303608759i</v>
      </c>
      <c r="AD444" s="66">
        <f t="shared" si="381"/>
        <v>-13.0787882570829</v>
      </c>
      <c r="AE444" s="63">
        <f t="shared" si="382"/>
        <v>-154.16470338319601</v>
      </c>
      <c r="AF444" s="51" t="e">
        <f t="shared" si="383"/>
        <v>#NUM!</v>
      </c>
      <c r="AG444" s="51" t="str">
        <f t="shared" si="365"/>
        <v>1-607.119789778685i</v>
      </c>
      <c r="AH444" s="51">
        <f t="shared" si="384"/>
        <v>607.12061333882798</v>
      </c>
      <c r="AI444" s="51">
        <f t="shared" si="385"/>
        <v>-1.5691492068813295</v>
      </c>
      <c r="AJ444" s="51" t="str">
        <f t="shared" si="366"/>
        <v>1+2.02373263259561i</v>
      </c>
      <c r="AK444" s="51">
        <f t="shared" si="386"/>
        <v>2.2573200411621652</v>
      </c>
      <c r="AL444" s="51">
        <f t="shared" si="387"/>
        <v>1.1118505743615141</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0.00864855804141024-0.0140145484459467i</v>
      </c>
      <c r="BG444" s="66">
        <f t="shared" si="403"/>
        <v>-35.667021088635572</v>
      </c>
      <c r="BH444" s="63">
        <f t="shared" si="404"/>
        <v>-58.320731058869612</v>
      </c>
      <c r="BI444" s="60" t="e">
        <f t="shared" si="409"/>
        <v>#NUM!</v>
      </c>
      <c r="BJ444" s="66" t="e">
        <f t="shared" si="405"/>
        <v>#NUM!</v>
      </c>
      <c r="BK444" s="63" t="e">
        <f t="shared" si="410"/>
        <v>#NUM!</v>
      </c>
      <c r="BL444" s="51">
        <f t="shared" si="406"/>
        <v>-35.667021088635572</v>
      </c>
      <c r="BM444" s="63">
        <f t="shared" si="407"/>
        <v>-58.320731058869612</v>
      </c>
    </row>
    <row r="445" spans="14:65" x14ac:dyDescent="0.3">
      <c r="N445" s="11">
        <v>27</v>
      </c>
      <c r="O445" s="52">
        <f t="shared" si="408"/>
        <v>186208.71366628664</v>
      </c>
      <c r="P445" s="50" t="str">
        <f t="shared" si="360"/>
        <v>23.3035714285714</v>
      </c>
      <c r="Q445" s="18" t="str">
        <f t="shared" si="361"/>
        <v>1+443.758161682494i</v>
      </c>
      <c r="R445" s="18">
        <f t="shared" si="372"/>
        <v>443.75928842090337</v>
      </c>
      <c r="S445" s="18">
        <f t="shared" si="373"/>
        <v>1.5685428509298216</v>
      </c>
      <c r="T445" s="18" t="str">
        <f t="shared" si="362"/>
        <v>1+2.07087142118497i</v>
      </c>
      <c r="U445" s="18">
        <f t="shared" si="374"/>
        <v>2.2996757256362592</v>
      </c>
      <c r="V445" s="18">
        <f t="shared" si="375"/>
        <v>1.12093138559306</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-0.201095698551834-0.0944573397327793i</v>
      </c>
      <c r="AD445" s="66">
        <f t="shared" si="381"/>
        <v>-13.066101644610322</v>
      </c>
      <c r="AE445" s="63">
        <f t="shared" si="382"/>
        <v>-154.83992791331815</v>
      </c>
      <c r="AF445" s="51" t="e">
        <f t="shared" si="383"/>
        <v>#NUM!</v>
      </c>
      <c r="AG445" s="51" t="str">
        <f t="shared" si="365"/>
        <v>1-621.261426355493i</v>
      </c>
      <c r="AH445" s="51">
        <f t="shared" si="384"/>
        <v>621.26223116914298</v>
      </c>
      <c r="AI445" s="51">
        <f t="shared" si="385"/>
        <v>-1.5691866998424666</v>
      </c>
      <c r="AJ445" s="51" t="str">
        <f t="shared" si="366"/>
        <v>1+2.07087142118497i</v>
      </c>
      <c r="AK445" s="51">
        <f t="shared" si="386"/>
        <v>2.2996757256362592</v>
      </c>
      <c r="AL445" s="51">
        <f t="shared" si="387"/>
        <v>1.12093138559306</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0.00827212790506828-0.0138370234282541i</v>
      </c>
      <c r="BG445" s="66">
        <f t="shared" si="403"/>
        <v>-35.852082293655457</v>
      </c>
      <c r="BH445" s="63">
        <f t="shared" si="404"/>
        <v>-59.127933921669793</v>
      </c>
      <c r="BI445" s="60" t="e">
        <f t="shared" si="409"/>
        <v>#NUM!</v>
      </c>
      <c r="BJ445" s="66" t="e">
        <f t="shared" si="405"/>
        <v>#NUM!</v>
      </c>
      <c r="BK445" s="63" t="e">
        <f t="shared" si="410"/>
        <v>#NUM!</v>
      </c>
      <c r="BL445" s="51">
        <f t="shared" si="406"/>
        <v>-35.852082293655457</v>
      </c>
      <c r="BM445" s="63">
        <f t="shared" si="407"/>
        <v>-59.127933921669793</v>
      </c>
    </row>
    <row r="446" spans="14:65" x14ac:dyDescent="0.3">
      <c r="N446" s="11">
        <v>28</v>
      </c>
      <c r="O446" s="52">
        <f t="shared" si="408"/>
        <v>190546.07179632492</v>
      </c>
      <c r="P446" s="50" t="str">
        <f t="shared" si="360"/>
        <v>23.3035714285714</v>
      </c>
      <c r="Q446" s="18" t="str">
        <f t="shared" si="361"/>
        <v>1+454.09461711709i</v>
      </c>
      <c r="R446" s="18">
        <f t="shared" si="372"/>
        <v>454.09571820786482</v>
      </c>
      <c r="S446" s="18">
        <f t="shared" si="373"/>
        <v>1.5685941461352471</v>
      </c>
      <c r="T446" s="18" t="str">
        <f t="shared" si="362"/>
        <v>1+2.11910821321309i</v>
      </c>
      <c r="U446" s="18">
        <f t="shared" si="374"/>
        <v>2.3432071225794737</v>
      </c>
      <c r="V446" s="18">
        <f t="shared" si="375"/>
        <v>1.1298831148368855</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-0.202490502689858-0.0922184208816107i</v>
      </c>
      <c r="AD446" s="66">
        <f t="shared" si="381"/>
        <v>-13.053365408208029</v>
      </c>
      <c r="AE446" s="63">
        <f t="shared" si="382"/>
        <v>-155.51448526982361</v>
      </c>
      <c r="AF446" s="51" t="e">
        <f t="shared" si="383"/>
        <v>#NUM!</v>
      </c>
      <c r="AG446" s="51" t="str">
        <f t="shared" si="365"/>
        <v>1-635.732463963927i</v>
      </c>
      <c r="AH446" s="51">
        <f t="shared" si="384"/>
        <v>635.73325045780462</v>
      </c>
      <c r="AI446" s="51">
        <f t="shared" si="385"/>
        <v>-1.5692233393639865</v>
      </c>
      <c r="AJ446" s="51" t="str">
        <f t="shared" si="366"/>
        <v>1+2.11910821321309i</v>
      </c>
      <c r="AK446" s="51">
        <f t="shared" si="386"/>
        <v>2.3432071225794737</v>
      </c>
      <c r="AL446" s="51">
        <f t="shared" si="387"/>
        <v>1.1298831148368855</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0.00790693048138197-0.0136574899735504i</v>
      </c>
      <c r="BG446" s="66">
        <f t="shared" si="403"/>
        <v>-36.03719414269662</v>
      </c>
      <c r="BH446" s="63">
        <f t="shared" si="404"/>
        <v>-59.93153468447386</v>
      </c>
      <c r="BI446" s="60" t="e">
        <f t="shared" si="409"/>
        <v>#NUM!</v>
      </c>
      <c r="BJ446" s="66" t="e">
        <f t="shared" si="405"/>
        <v>#NUM!</v>
      </c>
      <c r="BK446" s="63" t="e">
        <f t="shared" si="410"/>
        <v>#NUM!</v>
      </c>
      <c r="BL446" s="51">
        <f t="shared" si="406"/>
        <v>-36.03719414269662</v>
      </c>
      <c r="BM446" s="63">
        <f t="shared" si="407"/>
        <v>-59.93153468447386</v>
      </c>
    </row>
    <row r="447" spans="14:65" x14ac:dyDescent="0.3">
      <c r="N447" s="11">
        <v>29</v>
      </c>
      <c r="O447" s="52">
        <f t="shared" si="408"/>
        <v>194984.45997580473</v>
      </c>
      <c r="P447" s="50" t="str">
        <f t="shared" si="360"/>
        <v>23.3035714285714</v>
      </c>
      <c r="Q447" s="18" t="str">
        <f t="shared" si="361"/>
        <v>1+464.671839528327i</v>
      </c>
      <c r="R447" s="18">
        <f t="shared" si="372"/>
        <v>464.67291555527453</v>
      </c>
      <c r="S447" s="18">
        <f t="shared" si="373"/>
        <v>1.5686442737304434</v>
      </c>
      <c r="T447" s="18" t="str">
        <f t="shared" si="362"/>
        <v>1+2.16846858446553i</v>
      </c>
      <c r="U447" s="18">
        <f t="shared" si="374"/>
        <v>2.3879396981108925</v>
      </c>
      <c r="V447" s="18">
        <f t="shared" si="375"/>
        <v>1.1387047687577869</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-0.203859609335006-0.0899626884590831i</v>
      </c>
      <c r="AD447" s="66">
        <f t="shared" si="381"/>
        <v>-13.040630290761047</v>
      </c>
      <c r="AE447" s="63">
        <f t="shared" si="382"/>
        <v>-156.1882632406776</v>
      </c>
      <c r="AF447" s="51" t="e">
        <f t="shared" si="383"/>
        <v>#NUM!</v>
      </c>
      <c r="AG447" s="51" t="str">
        <f t="shared" si="365"/>
        <v>1-650.54057533966i</v>
      </c>
      <c r="AH447" s="51">
        <f t="shared" si="384"/>
        <v>650.54134393077265</v>
      </c>
      <c r="AI447" s="51">
        <f t="shared" si="385"/>
        <v>-1.5692591448722548</v>
      </c>
      <c r="AJ447" s="51" t="str">
        <f t="shared" si="366"/>
        <v>1+2.16846858446553i</v>
      </c>
      <c r="AK447" s="51">
        <f t="shared" si="386"/>
        <v>2.3879396981108925</v>
      </c>
      <c r="AL447" s="51">
        <f t="shared" si="387"/>
        <v>1.1387047687577869</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0.00755270842724937-0.0134761137610251i</v>
      </c>
      <c r="BG447" s="66">
        <f t="shared" si="403"/>
        <v>-36.222402961368083</v>
      </c>
      <c r="BH447" s="63">
        <f t="shared" si="404"/>
        <v>-60.731483383358601</v>
      </c>
      <c r="BI447" s="60" t="e">
        <f t="shared" si="409"/>
        <v>#NUM!</v>
      </c>
      <c r="BJ447" s="66" t="e">
        <f t="shared" si="405"/>
        <v>#NUM!</v>
      </c>
      <c r="BK447" s="63" t="e">
        <f t="shared" si="410"/>
        <v>#NUM!</v>
      </c>
      <c r="BL447" s="51">
        <f t="shared" si="406"/>
        <v>-36.222402961368083</v>
      </c>
      <c r="BM447" s="63">
        <f t="shared" si="407"/>
        <v>-60.731483383358601</v>
      </c>
    </row>
    <row r="448" spans="14:65" x14ac:dyDescent="0.3">
      <c r="N448" s="11">
        <v>30</v>
      </c>
      <c r="O448" s="52">
        <f t="shared" si="408"/>
        <v>199526.23149688813</v>
      </c>
      <c r="P448" s="50" t="str">
        <f t="shared" si="360"/>
        <v>23.3035714285714</v>
      </c>
      <c r="Q448" s="18" t="str">
        <f t="shared" si="361"/>
        <v>1+475.495437099545i</v>
      </c>
      <c r="R448" s="18">
        <f t="shared" si="372"/>
        <v>475.49648863318362</v>
      </c>
      <c r="S448" s="18">
        <f t="shared" si="373"/>
        <v>1.5686932602927171</v>
      </c>
      <c r="T448" s="18" t="str">
        <f t="shared" si="362"/>
        <v>1+2.21897870646454i</v>
      </c>
      <c r="U448" s="18">
        <f t="shared" si="374"/>
        <v>2.4338994432274812</v>
      </c>
      <c r="V448" s="18">
        <f t="shared" si="375"/>
        <v>1.14739553157607</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-0.205201546146204-0.0876903554042239i</v>
      </c>
      <c r="AD448" s="66">
        <f t="shared" si="381"/>
        <v>-13.027944396853741</v>
      </c>
      <c r="AE448" s="63">
        <f t="shared" si="382"/>
        <v>-156.86115517378809</v>
      </c>
      <c r="AF448" s="51" t="e">
        <f t="shared" si="383"/>
        <v>#NUM!</v>
      </c>
      <c r="AG448" s="51" t="str">
        <f t="shared" si="365"/>
        <v>1-665.693611939365i</v>
      </c>
      <c r="AH448" s="51">
        <f t="shared" si="384"/>
        <v>665.69436303522798</v>
      </c>
      <c r="AI448" s="51">
        <f t="shared" si="385"/>
        <v>-1.5692941353514582</v>
      </c>
      <c r="AJ448" s="51" t="str">
        <f t="shared" si="366"/>
        <v>1+2.21897870646454i</v>
      </c>
      <c r="AK448" s="51">
        <f t="shared" si="386"/>
        <v>2.4338994432274812</v>
      </c>
      <c r="AL448" s="51">
        <f t="shared" si="387"/>
        <v>1.14739553157607</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0.00720921308737819-0.0132930595426516i</v>
      </c>
      <c r="BG448" s="66">
        <f t="shared" si="403"/>
        <v>-36.40775262751022</v>
      </c>
      <c r="BH448" s="63">
        <f t="shared" si="404"/>
        <v>-61.527734494784156</v>
      </c>
      <c r="BI448" s="60" t="e">
        <f t="shared" si="409"/>
        <v>#NUM!</v>
      </c>
      <c r="BJ448" s="66" t="e">
        <f t="shared" si="405"/>
        <v>#NUM!</v>
      </c>
      <c r="BK448" s="63" t="e">
        <f t="shared" si="410"/>
        <v>#NUM!</v>
      </c>
      <c r="BL448" s="51">
        <f t="shared" si="406"/>
        <v>-36.40775262751022</v>
      </c>
      <c r="BM448" s="63">
        <f t="shared" si="407"/>
        <v>-61.527734494784156</v>
      </c>
    </row>
    <row r="449" spans="14:65" x14ac:dyDescent="0.3">
      <c r="N449" s="11">
        <v>31</v>
      </c>
      <c r="O449" s="52">
        <f t="shared" si="408"/>
        <v>204173.79446695308</v>
      </c>
      <c r="P449" s="50" t="str">
        <f t="shared" si="360"/>
        <v>23.3035714285714</v>
      </c>
      <c r="Q449" s="18" t="str">
        <f t="shared" si="361"/>
        <v>1+486.571148645437i</v>
      </c>
      <c r="R449" s="18">
        <f t="shared" si="372"/>
        <v>486.57217624329894</v>
      </c>
      <c r="S449" s="18">
        <f t="shared" si="373"/>
        <v>1.5687411317944504</v>
      </c>
      <c r="T449" s="18" t="str">
        <f t="shared" si="362"/>
        <v>1+2.27066536034537i</v>
      </c>
      <c r="U449" s="18">
        <f t="shared" si="374"/>
        <v>2.4811128911583951</v>
      </c>
      <c r="V449" s="18">
        <f t="shared" si="375"/>
        <v>1.1559547589545607</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-0.206514903654886-0.0854017002082705i</v>
      </c>
      <c r="AD449" s="66">
        <f t="shared" si="381"/>
        <v>-13.015353233828492</v>
      </c>
      <c r="AE449" s="63">
        <f t="shared" si="382"/>
        <v>-157.53306049188495</v>
      </c>
      <c r="AF449" s="51" t="e">
        <f t="shared" si="383"/>
        <v>#NUM!</v>
      </c>
      <c r="AG449" s="51" t="str">
        <f t="shared" si="365"/>
        <v>1-681.199608103613i</v>
      </c>
      <c r="AH449" s="51">
        <f t="shared" si="384"/>
        <v>681.20034210246536</v>
      </c>
      <c r="AI449" s="51">
        <f t="shared" si="385"/>
        <v>-1.5693283293536695</v>
      </c>
      <c r="AJ449" s="51" t="str">
        <f t="shared" si="366"/>
        <v>1+2.27066536034537i</v>
      </c>
      <c r="AK449" s="51">
        <f t="shared" si="386"/>
        <v>2.4811128911583951</v>
      </c>
      <c r="AL449" s="51">
        <f t="shared" si="387"/>
        <v>1.1559547589545607</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0.00687620356098024-0.0131084910346642i</v>
      </c>
      <c r="BG449" s="66">
        <f t="shared" si="403"/>
        <v>-36.593284604390668</v>
      </c>
      <c r="BH449" s="63">
        <f t="shared" si="404"/>
        <v>-62.32024745684722</v>
      </c>
      <c r="BI449" s="60" t="e">
        <f t="shared" si="409"/>
        <v>#NUM!</v>
      </c>
      <c r="BJ449" s="66" t="e">
        <f t="shared" si="405"/>
        <v>#NUM!</v>
      </c>
      <c r="BK449" s="63" t="e">
        <f t="shared" si="410"/>
        <v>#NUM!</v>
      </c>
      <c r="BL449" s="51">
        <f t="shared" si="406"/>
        <v>-36.593284604390668</v>
      </c>
      <c r="BM449" s="63">
        <f t="shared" si="407"/>
        <v>-62.32024745684722</v>
      </c>
    </row>
    <row r="450" spans="14:65" x14ac:dyDescent="0.3">
      <c r="N450" s="11">
        <v>32</v>
      </c>
      <c r="O450" s="52">
        <f t="shared" si="408"/>
        <v>208929.61308540447</v>
      </c>
      <c r="P450" s="50" t="str">
        <f t="shared" si="360"/>
        <v>23.3035714285714</v>
      </c>
      <c r="Q450" s="18" t="str">
        <f t="shared" si="361"/>
        <v>1+497.904846654876i</v>
      </c>
      <c r="R450" s="18">
        <f t="shared" si="372"/>
        <v>497.90585086180261</v>
      </c>
      <c r="S450" s="18">
        <f t="shared" si="373"/>
        <v>1.5687879136168696</v>
      </c>
      <c r="T450" s="18" t="str">
        <f t="shared" si="362"/>
        <v>1+2.32355595105609i</v>
      </c>
      <c r="U450" s="18">
        <f t="shared" si="374"/>
        <v>2.5296071350484786</v>
      </c>
      <c r="V450" s="18">
        <f t="shared" si="375"/>
        <v>1.1643819716479018</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-0.207798337258179-0.0830970608378927i</v>
      </c>
      <c r="AD450" s="66">
        <f t="shared" si="381"/>
        <v>-13.002899764618965</v>
      </c>
      <c r="AE450" s="63">
        <f t="shared" si="382"/>
        <v>-158.20388517413431</v>
      </c>
      <c r="AF450" s="51" t="e">
        <f t="shared" si="383"/>
        <v>#NUM!</v>
      </c>
      <c r="AG450" s="51" t="str">
        <f t="shared" si="365"/>
        <v>1-697.066785316827i</v>
      </c>
      <c r="AH450" s="51">
        <f t="shared" si="384"/>
        <v>697.06750260784304</v>
      </c>
      <c r="AI450" s="51">
        <f t="shared" si="385"/>
        <v>-1.5693617450086808</v>
      </c>
      <c r="AJ450" s="51" t="str">
        <f t="shared" si="366"/>
        <v>1+2.32355595105609i</v>
      </c>
      <c r="AK450" s="51">
        <f t="shared" si="386"/>
        <v>2.5296071350484786</v>
      </c>
      <c r="AL450" s="51">
        <f t="shared" si="387"/>
        <v>1.1643819716479018</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0.00655344584592652-0.0129225707611326i</v>
      </c>
      <c r="BG450" s="66">
        <f t="shared" si="403"/>
        <v>-36.779037985967307</v>
      </c>
      <c r="BH450" s="63">
        <f t="shared" si="404"/>
        <v>-63.108987158322449</v>
      </c>
      <c r="BI450" s="60" t="e">
        <f t="shared" si="409"/>
        <v>#NUM!</v>
      </c>
      <c r="BJ450" s="66" t="e">
        <f t="shared" si="405"/>
        <v>#NUM!</v>
      </c>
      <c r="BK450" s="63" t="e">
        <f t="shared" si="410"/>
        <v>#NUM!</v>
      </c>
      <c r="BL450" s="51">
        <f t="shared" si="406"/>
        <v>-36.779037985967307</v>
      </c>
      <c r="BM450" s="63">
        <f t="shared" si="407"/>
        <v>-63.108987158322449</v>
      </c>
    </row>
    <row r="451" spans="14:65" x14ac:dyDescent="0.3">
      <c r="N451" s="11">
        <v>33</v>
      </c>
      <c r="O451" s="52">
        <f t="shared" si="408"/>
        <v>213796.20895022334</v>
      </c>
      <c r="P451" s="50" t="str">
        <f t="shared" si="360"/>
        <v>23.3035714285714</v>
      </c>
      <c r="Q451" s="18" t="str">
        <f t="shared" si="361"/>
        <v>1+509.502540404556i</v>
      </c>
      <c r="R451" s="18">
        <f t="shared" si="372"/>
        <v>509.50352175298673</v>
      </c>
      <c r="S451" s="18">
        <f t="shared" si="373"/>
        <v>1.5688336305634965</v>
      </c>
      <c r="T451" s="18" t="str">
        <f t="shared" si="362"/>
        <v>1+2.37767852188793i</v>
      </c>
      <c r="U451" s="18">
        <f t="shared" si="374"/>
        <v>2.5794098459622838</v>
      </c>
      <c r="V451" s="18">
        <f t="shared" si="375"/>
        <v>1.1726768489616721</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-0.209050568650525-0.0807768286224439i</v>
      </c>
      <c r="AD451" s="66">
        <f t="shared" si="381"/>
        <v>-12.990624471345733</v>
      </c>
      <c r="AE451" s="63">
        <f t="shared" si="382"/>
        <v>-158.87354220129501</v>
      </c>
      <c r="AF451" s="51" t="e">
        <f t="shared" si="383"/>
        <v>#NUM!</v>
      </c>
      <c r="AG451" s="51" t="str">
        <f t="shared" si="365"/>
        <v>1-713.303556566381i</v>
      </c>
      <c r="AH451" s="51">
        <f t="shared" si="384"/>
        <v>713.30425752987628</v>
      </c>
      <c r="AI451" s="51">
        <f t="shared" si="385"/>
        <v>-1.569394400033616</v>
      </c>
      <c r="AJ451" s="51" t="str">
        <f t="shared" si="366"/>
        <v>1+2.37767852188793i</v>
      </c>
      <c r="AK451" s="51">
        <f t="shared" si="386"/>
        <v>2.5794098459622838</v>
      </c>
      <c r="AL451" s="51">
        <f t="shared" si="387"/>
        <v>1.1726768489616721</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0.0062407120603014-0.0127354598577661i</v>
      </c>
      <c r="BG451" s="66">
        <f t="shared" si="403"/>
        <v>-36.965049553199194</v>
      </c>
      <c r="BH451" s="63">
        <f t="shared" si="404"/>
        <v>-63.89392439220164</v>
      </c>
      <c r="BI451" s="60" t="e">
        <f t="shared" si="409"/>
        <v>#NUM!</v>
      </c>
      <c r="BJ451" s="66" t="e">
        <f t="shared" si="405"/>
        <v>#NUM!</v>
      </c>
      <c r="BK451" s="63" t="e">
        <f t="shared" si="410"/>
        <v>#NUM!</v>
      </c>
      <c r="BL451" s="51">
        <f t="shared" si="406"/>
        <v>-36.965049553199194</v>
      </c>
      <c r="BM451" s="63">
        <f t="shared" si="407"/>
        <v>-63.89392439220164</v>
      </c>
    </row>
    <row r="452" spans="14:65" x14ac:dyDescent="0.3">
      <c r="N452" s="11">
        <v>34</v>
      </c>
      <c r="O452" s="52">
        <f t="shared" si="408"/>
        <v>218776.16239495538</v>
      </c>
      <c r="P452" s="50" t="str">
        <f t="shared" si="360"/>
        <v>23.3035714285714</v>
      </c>
      <c r="Q452" s="18" t="str">
        <f t="shared" si="361"/>
        <v>1+521.370379145225i</v>
      </c>
      <c r="R452" s="18">
        <f t="shared" si="372"/>
        <v>521.37133815547975</v>
      </c>
      <c r="S452" s="18">
        <f t="shared" si="373"/>
        <v>1.5688783068732963</v>
      </c>
      <c r="T452" s="18" t="str">
        <f t="shared" si="362"/>
        <v>1+2.43306176934438i</v>
      </c>
      <c r="U452" s="18">
        <f t="shared" si="374"/>
        <v>2.630549291202354</v>
      </c>
      <c r="V452" s="18">
        <f t="shared" si="375"/>
        <v>1.1808392220665775</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-0.210270386701756-0.0784414421613282i</v>
      </c>
      <c r="AD452" s="66">
        <f t="shared" si="381"/>
        <v>-12.978565428639952</v>
      </c>
      <c r="AE452" s="63">
        <f t="shared" si="382"/>
        <v>-159.54195196176425</v>
      </c>
      <c r="AF452" s="51" t="e">
        <f t="shared" si="383"/>
        <v>#NUM!</v>
      </c>
      <c r="AG452" s="51" t="str">
        <f t="shared" si="365"/>
        <v>1-729.918530803316i</v>
      </c>
      <c r="AH452" s="51">
        <f t="shared" si="384"/>
        <v>729.91921581094948</v>
      </c>
      <c r="AI452" s="51">
        <f t="shared" si="385"/>
        <v>-1.5694263117423233</v>
      </c>
      <c r="AJ452" s="51" t="str">
        <f t="shared" si="366"/>
        <v>1+2.43306176934438i</v>
      </c>
      <c r="AK452" s="51">
        <f t="shared" si="386"/>
        <v>2.630549291202354</v>
      </c>
      <c r="AL452" s="51">
        <f t="shared" si="387"/>
        <v>1.1808392220665775</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0.00593777974055578-0.0125473178437929i</v>
      </c>
      <c r="BG452" s="66">
        <f t="shared" si="403"/>
        <v>-37.151353840362773</v>
      </c>
      <c r="BH452" s="63">
        <f t="shared" si="404"/>
        <v>-64.675036270988173</v>
      </c>
      <c r="BI452" s="60" t="e">
        <f t="shared" si="409"/>
        <v>#NUM!</v>
      </c>
      <c r="BJ452" s="66" t="e">
        <f t="shared" si="405"/>
        <v>#NUM!</v>
      </c>
      <c r="BK452" s="63" t="e">
        <f t="shared" si="410"/>
        <v>#NUM!</v>
      </c>
      <c r="BL452" s="51">
        <f t="shared" si="406"/>
        <v>-37.151353840362773</v>
      </c>
      <c r="BM452" s="63">
        <f t="shared" si="407"/>
        <v>-64.675036270988173</v>
      </c>
    </row>
    <row r="453" spans="14:65" x14ac:dyDescent="0.3">
      <c r="N453" s="11">
        <v>35</v>
      </c>
      <c r="O453" s="52">
        <f t="shared" si="408"/>
        <v>223872.11385683404</v>
      </c>
      <c r="P453" s="50" t="str">
        <f t="shared" si="360"/>
        <v>23.3035714285714</v>
      </c>
      <c r="Q453" s="18" t="str">
        <f t="shared" si="361"/>
        <v>1+533.51465536207i</v>
      </c>
      <c r="R453" s="18">
        <f t="shared" si="372"/>
        <v>533.51559254262509</v>
      </c>
      <c r="S453" s="18">
        <f t="shared" si="373"/>
        <v>1.5689219662335261</v>
      </c>
      <c r="T453" s="18" t="str">
        <f t="shared" si="362"/>
        <v>1+2.48973505835633i</v>
      </c>
      <c r="U453" s="18">
        <f t="shared" si="374"/>
        <v>2.683054352935959</v>
      </c>
      <c r="V453" s="18">
        <f t="shared" si="375"/>
        <v>1.1888690672101405</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-0.211456647795398-0.0760913813051605i</v>
      </c>
      <c r="AD453" s="66">
        <f t="shared" si="381"/>
        <v>-12.966758385654423</v>
      </c>
      <c r="AE453" s="63">
        <f t="shared" si="382"/>
        <v>-160.20904261638589</v>
      </c>
      <c r="AF453" s="51" t="e">
        <f t="shared" si="383"/>
        <v>#NUM!</v>
      </c>
      <c r="AG453" s="51" t="str">
        <f t="shared" si="365"/>
        <v>1-746.920517506899i</v>
      </c>
      <c r="AH453" s="51">
        <f t="shared" si="384"/>
        <v>746.92118692186909</v>
      </c>
      <c r="AI453" s="51">
        <f t="shared" si="385"/>
        <v>-1.5694574970545523</v>
      </c>
      <c r="AJ453" s="51" t="str">
        <f t="shared" si="366"/>
        <v>1+2.48973505835633i</v>
      </c>
      <c r="AK453" s="51">
        <f t="shared" si="386"/>
        <v>2.683054352935959</v>
      </c>
      <c r="AL453" s="51">
        <f t="shared" si="387"/>
        <v>1.1888690672101405</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0.00564443121477533-0.0123583023693946i</v>
      </c>
      <c r="BG453" s="66">
        <f t="shared" si="403"/>
        <v>-37.337983210323799</v>
      </c>
      <c r="BH453" s="63">
        <f t="shared" si="404"/>
        <v>-65.452306601539306</v>
      </c>
      <c r="BI453" s="60" t="e">
        <f t="shared" si="409"/>
        <v>#NUM!</v>
      </c>
      <c r="BJ453" s="66" t="e">
        <f t="shared" si="405"/>
        <v>#NUM!</v>
      </c>
      <c r="BK453" s="63" t="e">
        <f t="shared" si="410"/>
        <v>#NUM!</v>
      </c>
      <c r="BL453" s="51">
        <f t="shared" si="406"/>
        <v>-37.337983210323799</v>
      </c>
      <c r="BM453" s="63">
        <f t="shared" si="407"/>
        <v>-65.452306601539306</v>
      </c>
    </row>
    <row r="454" spans="14:65" x14ac:dyDescent="0.3">
      <c r="N454" s="11">
        <v>36</v>
      </c>
      <c r="O454" s="52">
        <f t="shared" si="408"/>
        <v>229086.76527677779</v>
      </c>
      <c r="P454" s="50" t="str">
        <f t="shared" si="360"/>
        <v>23.3035714285714</v>
      </c>
      <c r="Q454" s="18" t="str">
        <f t="shared" si="361"/>
        <v>1+545.941808111087i</v>
      </c>
      <c r="R454" s="18">
        <f t="shared" si="372"/>
        <v>545.94272395884434</v>
      </c>
      <c r="S454" s="18">
        <f t="shared" si="373"/>
        <v>1.5689646317922903</v>
      </c>
      <c r="T454" s="18" t="str">
        <f t="shared" si="362"/>
        <v>1+2.54772843785174i</v>
      </c>
      <c r="U454" s="18">
        <f t="shared" si="374"/>
        <v>2.736954547126873</v>
      </c>
      <c r="V454" s="18">
        <f t="shared" si="375"/>
        <v>1.1967664988656828</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-0.212608275646314-0.0737271612613972i</v>
      </c>
      <c r="AD454" s="66">
        <f t="shared" si="381"/>
        <v>-12.955236855724417</v>
      </c>
      <c r="AE454" s="63">
        <f t="shared" si="382"/>
        <v>-160.87475042041694</v>
      </c>
      <c r="AF454" s="51" t="e">
        <f t="shared" si="383"/>
        <v>#NUM!</v>
      </c>
      <c r="AG454" s="51" t="str">
        <f t="shared" si="365"/>
        <v>1-764.318531355524i</v>
      </c>
      <c r="AH454" s="51">
        <f t="shared" si="384"/>
        <v>764.31918553276228</v>
      </c>
      <c r="AI454" s="51">
        <f t="shared" si="385"/>
        <v>-1.5694879725049262</v>
      </c>
      <c r="AJ454" s="51" t="str">
        <f t="shared" si="366"/>
        <v>1+2.54772843785174i</v>
      </c>
      <c r="AK454" s="51">
        <f t="shared" si="386"/>
        <v>2.736954547126873</v>
      </c>
      <c r="AL454" s="51">
        <f t="shared" si="387"/>
        <v>1.1967664988656828</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0.00536045304895954-0.0121685689457478i</v>
      </c>
      <c r="BG454" s="66">
        <f t="shared" si="403"/>
        <v>-37.524967937719779</v>
      </c>
      <c r="BH454" s="63">
        <f t="shared" si="404"/>
        <v>-66.225726217768724</v>
      </c>
      <c r="BI454" s="60" t="e">
        <f t="shared" si="409"/>
        <v>#NUM!</v>
      </c>
      <c r="BJ454" s="66" t="e">
        <f t="shared" si="405"/>
        <v>#NUM!</v>
      </c>
      <c r="BK454" s="63" t="e">
        <f t="shared" si="410"/>
        <v>#NUM!</v>
      </c>
      <c r="BL454" s="51">
        <f t="shared" si="406"/>
        <v>-37.524967937719779</v>
      </c>
      <c r="BM454" s="63">
        <f t="shared" si="407"/>
        <v>-66.225726217768724</v>
      </c>
    </row>
    <row r="455" spans="14:65" x14ac:dyDescent="0.3">
      <c r="N455" s="11">
        <v>37</v>
      </c>
      <c r="O455" s="52">
        <f t="shared" si="408"/>
        <v>234422.88153199267</v>
      </c>
      <c r="P455" s="50" t="str">
        <f t="shared" si="360"/>
        <v>23.3035714285714</v>
      </c>
      <c r="Q455" s="18" t="str">
        <f t="shared" si="361"/>
        <v>1+558.65842643316i</v>
      </c>
      <c r="R455" s="18">
        <f t="shared" si="372"/>
        <v>558.65932143371106</v>
      </c>
      <c r="S455" s="18">
        <f t="shared" si="373"/>
        <v>1.5690063261708116</v>
      </c>
      <c r="T455" s="18" t="str">
        <f t="shared" si="362"/>
        <v>1+2.60707265668808i</v>
      </c>
      <c r="U455" s="18">
        <f t="shared" si="374"/>
        <v>2.7922800427698227</v>
      </c>
      <c r="V455" s="18">
        <f t="shared" si="375"/>
        <v>1.204531762855457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-0.213724260621564-0.0713493268715913i</v>
      </c>
      <c r="AD455" s="66">
        <f t="shared" si="381"/>
        <v>-12.944032212655006</v>
      </c>
      <c r="AE455" s="63">
        <f t="shared" si="382"/>
        <v>-161.53902000155188</v>
      </c>
      <c r="AF455" s="51" t="e">
        <f t="shared" si="383"/>
        <v>#NUM!</v>
      </c>
      <c r="AG455" s="51" t="str">
        <f t="shared" si="365"/>
        <v>1-782.121797006426i</v>
      </c>
      <c r="AH455" s="51">
        <f t="shared" si="384"/>
        <v>782.12243629278476</v>
      </c>
      <c r="AI455" s="51">
        <f t="shared" si="385"/>
        <v>-1.5695177542517051</v>
      </c>
      <c r="AJ455" s="51" t="str">
        <f t="shared" si="366"/>
        <v>1+2.60707265668808i</v>
      </c>
      <c r="AK455" s="51">
        <f t="shared" si="386"/>
        <v>2.7922800427698227</v>
      </c>
      <c r="AL455" s="51">
        <f t="shared" si="387"/>
        <v>1.204531762855457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0.00508563556365243-0.011978270664249i</v>
      </c>
      <c r="BG455" s="66">
        <f t="shared" si="403"/>
        <v>-37.712336299021644</v>
      </c>
      <c r="BH455" s="63">
        <f t="shared" si="404"/>
        <v>-66.995293270041444</v>
      </c>
      <c r="BI455" s="60" t="e">
        <f t="shared" si="409"/>
        <v>#NUM!</v>
      </c>
      <c r="BJ455" s="66" t="e">
        <f t="shared" si="405"/>
        <v>#NUM!</v>
      </c>
      <c r="BK455" s="63" t="e">
        <f t="shared" si="410"/>
        <v>#NUM!</v>
      </c>
      <c r="BL455" s="51">
        <f t="shared" si="406"/>
        <v>-37.712336299021644</v>
      </c>
      <c r="BM455" s="63">
        <f t="shared" si="407"/>
        <v>-66.995293270041444</v>
      </c>
    </row>
    <row r="456" spans="14:65" x14ac:dyDescent="0.3">
      <c r="N456" s="11">
        <v>38</v>
      </c>
      <c r="O456" s="52">
        <f t="shared" si="408"/>
        <v>239883.29190194907</v>
      </c>
      <c r="P456" s="50" t="str">
        <f t="shared" si="360"/>
        <v>23.3035714285714</v>
      </c>
      <c r="Q456" s="18" t="str">
        <f t="shared" si="361"/>
        <v>1+571.671252847644i</v>
      </c>
      <c r="R456" s="18">
        <f t="shared" si="372"/>
        <v>571.67212747552685</v>
      </c>
      <c r="S456" s="18">
        <f t="shared" si="373"/>
        <v>1.569047071475421</v>
      </c>
      <c r="T456" s="18" t="str">
        <f t="shared" si="362"/>
        <v>1+2.66779917995568i</v>
      </c>
      <c r="U456" s="18">
        <f t="shared" si="374"/>
        <v>2.8490616814263956</v>
      </c>
      <c r="V456" s="18">
        <f t="shared" si="375"/>
        <v>1.2121652294818235</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-0.214803658592463-0.0689584471034777i</v>
      </c>
      <c r="AD456" s="66">
        <f t="shared" si="381"/>
        <v>-12.933173792638339</v>
      </c>
      <c r="AE456" s="63">
        <f t="shared" si="382"/>
        <v>-162.20180459338246</v>
      </c>
      <c r="AF456" s="51" t="e">
        <f t="shared" si="383"/>
        <v>#NUM!</v>
      </c>
      <c r="AG456" s="51" t="str">
        <f t="shared" si="365"/>
        <v>1-800.339753986704i</v>
      </c>
      <c r="AH456" s="51">
        <f t="shared" si="384"/>
        <v>800.34037872114004</v>
      </c>
      <c r="AI456" s="51">
        <f t="shared" si="385"/>
        <v>-1.5695468580853542</v>
      </c>
      <c r="AJ456" s="51" t="str">
        <f t="shared" si="366"/>
        <v>1+2.66779917995568i</v>
      </c>
      <c r="AK456" s="51">
        <f t="shared" si="386"/>
        <v>2.8490616814263956</v>
      </c>
      <c r="AL456" s="51">
        <f t="shared" si="387"/>
        <v>1.2121652294818235</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0.00481977241778595-0.0117875579109743i</v>
      </c>
      <c r="BG456" s="66">
        <f t="shared" si="403"/>
        <v>-37.900114668469826</v>
      </c>
      <c r="BH456" s="63">
        <f t="shared" si="404"/>
        <v>-67.761013470565885</v>
      </c>
      <c r="BI456" s="60" t="e">
        <f t="shared" si="409"/>
        <v>#NUM!</v>
      </c>
      <c r="BJ456" s="66" t="e">
        <f t="shared" si="405"/>
        <v>#NUM!</v>
      </c>
      <c r="BK456" s="63" t="e">
        <f t="shared" si="410"/>
        <v>#NUM!</v>
      </c>
      <c r="BL456" s="51">
        <f t="shared" si="406"/>
        <v>-37.900114668469826</v>
      </c>
      <c r="BM456" s="63">
        <f t="shared" si="407"/>
        <v>-67.761013470565885</v>
      </c>
    </row>
    <row r="457" spans="14:65" x14ac:dyDescent="0.3">
      <c r="N457" s="11">
        <v>39</v>
      </c>
      <c r="O457" s="52">
        <f t="shared" si="408"/>
        <v>245470.89156850305</v>
      </c>
      <c r="P457" s="50" t="str">
        <f t="shared" si="360"/>
        <v>23.3035714285714</v>
      </c>
      <c r="Q457" s="18" t="str">
        <f t="shared" si="361"/>
        <v>1+584.987186927352i</v>
      </c>
      <c r="R457" s="18">
        <f t="shared" si="372"/>
        <v>584.98804164630292</v>
      </c>
      <c r="S457" s="18">
        <f t="shared" si="373"/>
        <v>1.5690868893092766</v>
      </c>
      <c r="T457" s="18" t="str">
        <f t="shared" si="362"/>
        <v>1+2.72994020566098i</v>
      </c>
      <c r="U457" s="18">
        <f t="shared" si="374"/>
        <v>2.9073309970631676</v>
      </c>
      <c r="V457" s="18">
        <f t="shared" si="375"/>
        <v>1.2196673866975158</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-0.215845589349414-0.0665551097968555i</v>
      </c>
      <c r="AD457" s="66">
        <f t="shared" si="381"/>
        <v>-12.922689000834961</v>
      </c>
      <c r="AE457" s="63">
        <f t="shared" si="382"/>
        <v>-162.86306622412124</v>
      </c>
      <c r="AF457" s="51" t="e">
        <f t="shared" si="383"/>
        <v>#NUM!</v>
      </c>
      <c r="AG457" s="51" t="str">
        <f t="shared" si="365"/>
        <v>1-818.982061698295i</v>
      </c>
      <c r="AH457" s="51">
        <f t="shared" si="384"/>
        <v>818.98267221204981</v>
      </c>
      <c r="AI457" s="51">
        <f t="shared" si="385"/>
        <v>-1.5695752994369139</v>
      </c>
      <c r="AJ457" s="51" t="str">
        <f t="shared" si="366"/>
        <v>1+2.72994020566098i</v>
      </c>
      <c r="AK457" s="51">
        <f t="shared" si="386"/>
        <v>2.9073309970631676</v>
      </c>
      <c r="AL457" s="51">
        <f t="shared" si="387"/>
        <v>1.2196673866975158</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0.00456266025619035-0.0115965780818797i</v>
      </c>
      <c r="BG457" s="66">
        <f t="shared" si="403"/>
        <v>-38.088327618910419</v>
      </c>
      <c r="BH457" s="63">
        <f t="shared" si="404"/>
        <v>-68.522900294552002</v>
      </c>
      <c r="BI457" s="60" t="e">
        <f t="shared" si="409"/>
        <v>#NUM!</v>
      </c>
      <c r="BJ457" s="66" t="e">
        <f t="shared" si="405"/>
        <v>#NUM!</v>
      </c>
      <c r="BK457" s="63" t="e">
        <f t="shared" si="410"/>
        <v>#NUM!</v>
      </c>
      <c r="BL457" s="51">
        <f t="shared" si="406"/>
        <v>-38.088327618910419</v>
      </c>
      <c r="BM457" s="63">
        <f t="shared" si="407"/>
        <v>-68.522900294552002</v>
      </c>
    </row>
    <row r="458" spans="14:65" x14ac:dyDescent="0.3">
      <c r="N458" s="11">
        <v>40</v>
      </c>
      <c r="O458" s="52">
        <f t="shared" si="408"/>
        <v>251188.64315095844</v>
      </c>
      <c r="P458" s="50" t="str">
        <f t="shared" si="360"/>
        <v>23.3035714285714</v>
      </c>
      <c r="Q458" s="18" t="str">
        <f t="shared" si="361"/>
        <v>1+598.613288956794i</v>
      </c>
      <c r="R458" s="18">
        <f t="shared" si="372"/>
        <v>598.61412421999387</v>
      </c>
      <c r="S458" s="18">
        <f t="shared" si="373"/>
        <v>1.569125800783816</v>
      </c>
      <c r="T458" s="18" t="str">
        <f t="shared" si="362"/>
        <v>1+2.79352868179837i</v>
      </c>
      <c r="U458" s="18">
        <f t="shared" si="374"/>
        <v>2.9671202361936966</v>
      </c>
      <c r="V458" s="18">
        <f t="shared" si="375"/>
        <v>1.2270388333430708</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-0.216849234613948-0.064139916697763i</v>
      </c>
      <c r="AD458" s="66">
        <f t="shared" si="381"/>
        <v>-12.91260342169541</v>
      </c>
      <c r="AE458" s="63">
        <f t="shared" si="382"/>
        <v>-163.52277586082698</v>
      </c>
      <c r="AF458" s="51" t="e">
        <f t="shared" si="383"/>
        <v>#NUM!</v>
      </c>
      <c r="AG458" s="51" t="str">
        <f t="shared" si="365"/>
        <v>1-838.058604539513i</v>
      </c>
      <c r="AH458" s="51">
        <f t="shared" si="384"/>
        <v>838.05920115628817</v>
      </c>
      <c r="AI458" s="51">
        <f t="shared" si="385"/>
        <v>-1.5696030933861813</v>
      </c>
      <c r="AJ458" s="51" t="str">
        <f t="shared" si="366"/>
        <v>1+2.79352868179837i</v>
      </c>
      <c r="AK458" s="51">
        <f t="shared" si="386"/>
        <v>2.9671202361936966</v>
      </c>
      <c r="AL458" s="51">
        <f t="shared" si="387"/>
        <v>1.2270388333430708</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0.00431409841689521-0.0114054753036705i</v>
      </c>
      <c r="BG458" s="66">
        <f t="shared" si="403"/>
        <v>-38.27699802660058</v>
      </c>
      <c r="BH458" s="63">
        <f t="shared" si="404"/>
        <v>-69.280975137310762</v>
      </c>
      <c r="BI458" s="60" t="e">
        <f t="shared" si="409"/>
        <v>#NUM!</v>
      </c>
      <c r="BJ458" s="66" t="e">
        <f t="shared" si="405"/>
        <v>#NUM!</v>
      </c>
      <c r="BK458" s="63" t="e">
        <f t="shared" si="410"/>
        <v>#NUM!</v>
      </c>
      <c r="BL458" s="51">
        <f t="shared" si="406"/>
        <v>-38.27699802660058</v>
      </c>
      <c r="BM458" s="63">
        <f t="shared" si="407"/>
        <v>-69.280975137310762</v>
      </c>
    </row>
    <row r="459" spans="14:65" x14ac:dyDescent="0.3">
      <c r="N459" s="11">
        <v>41</v>
      </c>
      <c r="O459" s="52">
        <f t="shared" si="408"/>
        <v>257039.57827688678</v>
      </c>
      <c r="P459" s="50" t="str">
        <f t="shared" si="360"/>
        <v>23.3035714285714</v>
      </c>
      <c r="Q459" s="18" t="str">
        <f t="shared" si="361"/>
        <v>1+612.556783675619i</v>
      </c>
      <c r="R459" s="18">
        <f t="shared" si="372"/>
        <v>612.55759992593278</v>
      </c>
      <c r="S459" s="18">
        <f t="shared" si="373"/>
        <v>1.5691638265299463</v>
      </c>
      <c r="T459" s="18" t="str">
        <f t="shared" si="362"/>
        <v>1+2.85859832381956i</v>
      </c>
      <c r="U459" s="18">
        <f t="shared" si="374"/>
        <v>3.0284623783273248</v>
      </c>
      <c r="V459" s="18">
        <f t="shared" si="375"/>
        <v>1.2342802724766369</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-0.217813835684694-0.0617134788108181i</v>
      </c>
      <c r="AD459" s="66">
        <f t="shared" si="381"/>
        <v>-12.902940932144338</v>
      </c>
      <c r="AE459" s="63">
        <f t="shared" si="382"/>
        <v>-164.18091350975251</v>
      </c>
      <c r="AF459" s="51" t="e">
        <f t="shared" si="383"/>
        <v>#NUM!</v>
      </c>
      <c r="AG459" s="51" t="str">
        <f t="shared" si="365"/>
        <v>1-857.579497145869i</v>
      </c>
      <c r="AH459" s="51">
        <f t="shared" si="384"/>
        <v>857.5800801819978</v>
      </c>
      <c r="AI459" s="51">
        <f t="shared" si="385"/>
        <v>-1.5696302546697039</v>
      </c>
      <c r="AJ459" s="51" t="str">
        <f t="shared" si="366"/>
        <v>1+2.85859832381956i</v>
      </c>
      <c r="AK459" s="51">
        <f t="shared" si="386"/>
        <v>3.0284623783273248</v>
      </c>
      <c r="AL459" s="51">
        <f t="shared" si="387"/>
        <v>1.2342802724766369</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0.00407388869408701-0.0112143901646907i</v>
      </c>
      <c r="BG459" s="66">
        <f t="shared" si="403"/>
        <v>-38.466147179097284</v>
      </c>
      <c r="BH459" s="63">
        <f t="shared" si="404"/>
        <v>-70.035267427863602</v>
      </c>
      <c r="BI459" s="60" t="e">
        <f t="shared" si="409"/>
        <v>#NUM!</v>
      </c>
      <c r="BJ459" s="66" t="e">
        <f t="shared" si="405"/>
        <v>#NUM!</v>
      </c>
      <c r="BK459" s="63" t="e">
        <f t="shared" si="410"/>
        <v>#NUM!</v>
      </c>
      <c r="BL459" s="51">
        <f t="shared" si="406"/>
        <v>-38.466147179097284</v>
      </c>
      <c r="BM459" s="63">
        <f t="shared" si="407"/>
        <v>-70.035267427863602</v>
      </c>
    </row>
    <row r="460" spans="14:65" x14ac:dyDescent="0.3">
      <c r="N460" s="11">
        <v>42</v>
      </c>
      <c r="O460" s="52">
        <f t="shared" si="408"/>
        <v>263026.79918953858</v>
      </c>
      <c r="P460" s="50" t="str">
        <f t="shared" si="360"/>
        <v>23.3035714285714</v>
      </c>
      <c r="Q460" s="18" t="str">
        <f t="shared" si="361"/>
        <v>1+626.825064109298i</v>
      </c>
      <c r="R460" s="18">
        <f t="shared" si="372"/>
        <v>626.82586177951009</v>
      </c>
      <c r="S460" s="18">
        <f t="shared" si="373"/>
        <v>1.5692009867089816</v>
      </c>
      <c r="T460" s="18" t="str">
        <f t="shared" si="362"/>
        <v>1+2.92518363251006i</v>
      </c>
      <c r="U460" s="18">
        <f t="shared" si="374"/>
        <v>3.0913911567294017</v>
      </c>
      <c r="V460" s="18">
        <f t="shared" si="375"/>
        <v>1.2413925048186447</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-0.218738690755649-0.0592764120949895i</v>
      </c>
      <c r="AD460" s="66">
        <f t="shared" si="381"/>
        <v>-12.893723816800938</v>
      </c>
      <c r="AE460" s="63">
        <f t="shared" si="382"/>
        <v>-164.83746827376171</v>
      </c>
      <c r="AF460" s="51" t="e">
        <f t="shared" si="383"/>
        <v>#NUM!</v>
      </c>
      <c r="AG460" s="51" t="str">
        <f t="shared" si="365"/>
        <v>1-877.55508975302i</v>
      </c>
      <c r="AH460" s="51">
        <f t="shared" si="384"/>
        <v>877.55565951763469</v>
      </c>
      <c r="AI460" s="51">
        <f t="shared" si="385"/>
        <v>-1.5696567976885938</v>
      </c>
      <c r="AJ460" s="51" t="str">
        <f t="shared" si="366"/>
        <v>1+2.92518363251006i</v>
      </c>
      <c r="AK460" s="51">
        <f t="shared" si="386"/>
        <v>3.0913911567294017</v>
      </c>
      <c r="AL460" s="51">
        <f t="shared" si="387"/>
        <v>1.2413925048186447</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0.00384183515240749-0.0110234594595995i</v>
      </c>
      <c r="BG460" s="66">
        <f t="shared" si="403"/>
        <v>-38.655794885395586</v>
      </c>
      <c r="BH460" s="63">
        <f t="shared" si="404"/>
        <v>-70.785814699955068</v>
      </c>
      <c r="BI460" s="60" t="e">
        <f t="shared" si="409"/>
        <v>#NUM!</v>
      </c>
      <c r="BJ460" s="66" t="e">
        <f t="shared" si="405"/>
        <v>#NUM!</v>
      </c>
      <c r="BK460" s="63" t="e">
        <f t="shared" si="410"/>
        <v>#NUM!</v>
      </c>
      <c r="BL460" s="51">
        <f t="shared" si="406"/>
        <v>-38.655794885395586</v>
      </c>
      <c r="BM460" s="63">
        <f t="shared" si="407"/>
        <v>-70.785814699955068</v>
      </c>
    </row>
    <row r="461" spans="14:65" x14ac:dyDescent="0.3">
      <c r="N461" s="11">
        <v>43</v>
      </c>
      <c r="O461" s="52">
        <f t="shared" si="408"/>
        <v>269153.48039269145</v>
      </c>
      <c r="P461" s="50" t="str">
        <f t="shared" si="360"/>
        <v>23.3035714285714</v>
      </c>
      <c r="Q461" s="18" t="str">
        <f t="shared" si="361"/>
        <v>1+641.425695488981i</v>
      </c>
      <c r="R461" s="18">
        <f t="shared" si="372"/>
        <v>641.42647500202463</v>
      </c>
      <c r="S461" s="18">
        <f t="shared" si="373"/>
        <v>1.5692373010233294</v>
      </c>
      <c r="T461" s="18" t="str">
        <f t="shared" si="362"/>
        <v>1+2.99331991228191i</v>
      </c>
      <c r="U461" s="18">
        <f t="shared" si="374"/>
        <v>3.15594107949806</v>
      </c>
      <c r="V461" s="18">
        <f t="shared" si="375"/>
        <v>1.2483764223310592</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-0.219623151946206-0.0568293335234355i</v>
      </c>
      <c r="AD461" s="66">
        <f t="shared" si="381"/>
        <v>-12.884972884464334</v>
      </c>
      <c r="AE461" s="63">
        <f t="shared" si="382"/>
        <v>-165.49243836806036</v>
      </c>
      <c r="AF461" s="51" t="e">
        <f t="shared" si="383"/>
        <v>#NUM!</v>
      </c>
      <c r="AG461" s="51" t="str">
        <f t="shared" si="365"/>
        <v>1-897.995973684575i</v>
      </c>
      <c r="AH461" s="51">
        <f t="shared" si="384"/>
        <v>897.99653047977199</v>
      </c>
      <c r="AI461" s="51">
        <f t="shared" si="385"/>
        <v>-1.569682736516161</v>
      </c>
      <c r="AJ461" s="51" t="str">
        <f t="shared" si="366"/>
        <v>1+2.99331991228191i</v>
      </c>
      <c r="AK461" s="51">
        <f t="shared" si="386"/>
        <v>3.15594107949806</v>
      </c>
      <c r="AL461" s="51">
        <f t="shared" si="387"/>
        <v>1.2483764223310592</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0.00361774398816002-0.0108328159510288i</v>
      </c>
      <c r="BG461" s="66">
        <f t="shared" si="403"/>
        <v>-38.845959587537784</v>
      </c>
      <c r="BH461" s="63">
        <f t="shared" si="404"/>
        <v>-71.532662621668166</v>
      </c>
      <c r="BI461" s="60" t="e">
        <f t="shared" si="409"/>
        <v>#NUM!</v>
      </c>
      <c r="BJ461" s="66" t="e">
        <f t="shared" si="405"/>
        <v>#NUM!</v>
      </c>
      <c r="BK461" s="63" t="e">
        <f t="shared" si="410"/>
        <v>#NUM!</v>
      </c>
      <c r="BL461" s="51">
        <f t="shared" si="406"/>
        <v>-38.845959587537784</v>
      </c>
      <c r="BM461" s="63">
        <f t="shared" si="407"/>
        <v>-71.532662621668166</v>
      </c>
    </row>
    <row r="462" spans="14:65" x14ac:dyDescent="0.3">
      <c r="N462" s="11">
        <v>44</v>
      </c>
      <c r="O462" s="52">
        <f t="shared" si="408"/>
        <v>275422.87033381703</v>
      </c>
      <c r="P462" s="50" t="str">
        <f t="shared" si="360"/>
        <v>23.3035714285714</v>
      </c>
      <c r="Q462" s="18" t="str">
        <f t="shared" si="361"/>
        <v>1+656.366419262684i</v>
      </c>
      <c r="R462" s="18">
        <f t="shared" si="372"/>
        <v>656.36718103186536</v>
      </c>
      <c r="S462" s="18">
        <f t="shared" si="373"/>
        <v>1.5692727887269369</v>
      </c>
      <c r="T462" s="18" t="str">
        <f t="shared" si="362"/>
        <v>1+3.06304328989253i</v>
      </c>
      <c r="U462" s="18">
        <f t="shared" si="374"/>
        <v>3.2221474509642873</v>
      </c>
      <c r="V462" s="18">
        <f t="shared" si="375"/>
        <v>1.255233001948413</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-0.220466622082875-0.0543728575235565i</v>
      </c>
      <c r="AD462" s="66">
        <f t="shared" si="381"/>
        <v>-12.8767075851522</v>
      </c>
      <c r="AE462" s="63">
        <f t="shared" si="382"/>
        <v>-166.14583109573397</v>
      </c>
      <c r="AF462" s="51" t="e">
        <f t="shared" si="383"/>
        <v>#NUM!</v>
      </c>
      <c r="AG462" s="51" t="str">
        <f t="shared" si="365"/>
        <v>1-918.91298696776i</v>
      </c>
      <c r="AH462" s="51">
        <f t="shared" si="384"/>
        <v>918.91353108875853</v>
      </c>
      <c r="AI462" s="51">
        <f t="shared" si="385"/>
        <v>-1.5697080849053757</v>
      </c>
      <c r="AJ462" s="51" t="str">
        <f t="shared" si="366"/>
        <v>1+3.06304328989253i</v>
      </c>
      <c r="AK462" s="51">
        <f t="shared" si="386"/>
        <v>3.2221474509642873</v>
      </c>
      <c r="AL462" s="51">
        <f t="shared" si="387"/>
        <v>1.255233001948413</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0.00340142343294131-0.0106425881508563i</v>
      </c>
      <c r="BG462" s="66">
        <f t="shared" si="403"/>
        <v>-39.036658472974118</v>
      </c>
      <c r="BH462" s="63">
        <f t="shared" si="404"/>
        <v>-72.275864985090294</v>
      </c>
      <c r="BI462" s="60" t="e">
        <f t="shared" si="409"/>
        <v>#NUM!</v>
      </c>
      <c r="BJ462" s="66" t="e">
        <f t="shared" si="405"/>
        <v>#NUM!</v>
      </c>
      <c r="BK462" s="63" t="e">
        <f t="shared" si="410"/>
        <v>#NUM!</v>
      </c>
      <c r="BL462" s="51">
        <f t="shared" si="406"/>
        <v>-39.036658472974118</v>
      </c>
      <c r="BM462" s="63">
        <f t="shared" si="407"/>
        <v>-72.275864985090294</v>
      </c>
    </row>
    <row r="463" spans="14:65" x14ac:dyDescent="0.3">
      <c r="N463" s="11">
        <v>45</v>
      </c>
      <c r="O463" s="52">
        <f t="shared" si="408"/>
        <v>281838.29312644573</v>
      </c>
      <c r="P463" s="50" t="str">
        <f t="shared" si="360"/>
        <v>23.3035714285714</v>
      </c>
      <c r="Q463" s="18" t="str">
        <f t="shared" si="361"/>
        <v>1+671.655157199916i</v>
      </c>
      <c r="R463" s="18">
        <f t="shared" si="372"/>
        <v>671.65590162913315</v>
      </c>
      <c r="S463" s="18">
        <f t="shared" si="373"/>
        <v>1.5693074686354964</v>
      </c>
      <c r="T463" s="18" t="str">
        <f t="shared" si="362"/>
        <v>1+3.13439073359961i</v>
      </c>
      <c r="U463" s="18">
        <f t="shared" si="374"/>
        <v>3.2900463934229109</v>
      </c>
      <c r="V463" s="18">
        <f t="shared" si="375"/>
        <v>1.2619632994753591</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-0.221268551272713-0.0519075928091096i</v>
      </c>
      <c r="AD463" s="66">
        <f t="shared" si="381"/>
        <v>-12.868946127037834</v>
      </c>
      <c r="AE463" s="63">
        <f t="shared" si="382"/>
        <v>-166.7976627847876</v>
      </c>
      <c r="AF463" s="51" t="e">
        <f t="shared" si="383"/>
        <v>#NUM!</v>
      </c>
      <c r="AG463" s="51" t="str">
        <f t="shared" si="365"/>
        <v>1-940.317220079885i</v>
      </c>
      <c r="AH463" s="51">
        <f t="shared" si="384"/>
        <v>940.31775181518447</v>
      </c>
      <c r="AI463" s="51">
        <f t="shared" si="385"/>
        <v>-1.5697328562961588</v>
      </c>
      <c r="AJ463" s="51" t="str">
        <f t="shared" si="366"/>
        <v>1+3.13439073359961i</v>
      </c>
      <c r="AK463" s="51">
        <f t="shared" si="386"/>
        <v>3.2900463934229109</v>
      </c>
      <c r="AL463" s="51">
        <f t="shared" si="387"/>
        <v>1.2619632994753591</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0.00319268369522646-0.0104529001231962i</v>
      </c>
      <c r="BG463" s="66">
        <f t="shared" si="403"/>
        <v>-39.227907587013064</v>
      </c>
      <c r="BH463" s="63">
        <f t="shared" si="404"/>
        <v>-73.015483657682921</v>
      </c>
      <c r="BI463" s="60" t="e">
        <f t="shared" si="409"/>
        <v>#NUM!</v>
      </c>
      <c r="BJ463" s="66" t="e">
        <f t="shared" si="405"/>
        <v>#NUM!</v>
      </c>
      <c r="BK463" s="63" t="e">
        <f t="shared" si="410"/>
        <v>#NUM!</v>
      </c>
      <c r="BL463" s="51">
        <f t="shared" si="406"/>
        <v>-39.227907587013064</v>
      </c>
      <c r="BM463" s="63">
        <f t="shared" si="407"/>
        <v>-73.015483657682921</v>
      </c>
    </row>
    <row r="464" spans="14:65" x14ac:dyDescent="0.3">
      <c r="N464" s="11">
        <v>46</v>
      </c>
      <c r="O464" s="52">
        <f t="shared" si="408"/>
        <v>288403.1503126609</v>
      </c>
      <c r="P464" s="50" t="str">
        <f t="shared" si="360"/>
        <v>23.3035714285714</v>
      </c>
      <c r="Q464" s="18" t="str">
        <f t="shared" si="361"/>
        <v>1+687.300015591903i</v>
      </c>
      <c r="R464" s="18">
        <f t="shared" si="372"/>
        <v>687.30074307586062</v>
      </c>
      <c r="S464" s="18">
        <f t="shared" si="373"/>
        <v>1.5693413591364207</v>
      </c>
      <c r="T464" s="18" t="str">
        <f t="shared" si="362"/>
        <v>1+3.20740007276221i</v>
      </c>
      <c r="U464" s="18">
        <f t="shared" si="374"/>
        <v>3.3596748692031242</v>
      </c>
      <c r="V464" s="18">
        <f t="shared" si="375"/>
        <v>1.2685684436631619</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-0.22202843330801-0.049434139612112i</v>
      </c>
      <c r="AD464" s="66">
        <f t="shared" si="381"/>
        <v>-12.861705592692774</v>
      </c>
      <c r="AE464" s="63">
        <f t="shared" si="382"/>
        <v>-167.4479586885534</v>
      </c>
      <c r="AF464" s="51" t="e">
        <f t="shared" si="383"/>
        <v>#NUM!</v>
      </c>
      <c r="AG464" s="51" t="str">
        <f t="shared" si="365"/>
        <v>1-962.220021828666i</v>
      </c>
      <c r="AH464" s="51">
        <f t="shared" si="384"/>
        <v>962.220541460199</v>
      </c>
      <c r="AI464" s="51">
        <f t="shared" si="385"/>
        <v>-1.569757063822508</v>
      </c>
      <c r="AJ464" s="51" t="str">
        <f t="shared" si="366"/>
        <v>1+3.20740007276221i</v>
      </c>
      <c r="AK464" s="51">
        <f t="shared" si="386"/>
        <v>3.3596748692031242</v>
      </c>
      <c r="AL464" s="51">
        <f t="shared" si="387"/>
        <v>1.2685684436631619</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0.002991336935495-0.0102638713107005i</v>
      </c>
      <c r="BG464" s="66">
        <f t="shared" si="403"/>
        <v>-39.419721944762379</v>
      </c>
      <c r="BH464" s="63">
        <f t="shared" si="404"/>
        <v>-73.751588497186674</v>
      </c>
      <c r="BI464" s="60" t="e">
        <f t="shared" si="409"/>
        <v>#NUM!</v>
      </c>
      <c r="BJ464" s="66" t="e">
        <f t="shared" si="405"/>
        <v>#NUM!</v>
      </c>
      <c r="BK464" s="63" t="e">
        <f t="shared" si="410"/>
        <v>#NUM!</v>
      </c>
      <c r="BL464" s="51">
        <f t="shared" si="406"/>
        <v>-39.419721944762379</v>
      </c>
      <c r="BM464" s="63">
        <f t="shared" si="407"/>
        <v>-73.751588497186674</v>
      </c>
    </row>
    <row r="465" spans="14:65" x14ac:dyDescent="0.3">
      <c r="N465" s="11">
        <v>47</v>
      </c>
      <c r="O465" s="52">
        <f t="shared" si="408"/>
        <v>295120.92266663886</v>
      </c>
      <c r="P465" s="50" t="str">
        <f t="shared" si="360"/>
        <v>23.3035714285714</v>
      </c>
      <c r="Q465" s="18" t="str">
        <f t="shared" si="361"/>
        <v>1+703.309289549646i</v>
      </c>
      <c r="R465" s="18">
        <f t="shared" si="372"/>
        <v>703.31000047406394</v>
      </c>
      <c r="S465" s="18">
        <f t="shared" si="373"/>
        <v>1.5693744781985901</v>
      </c>
      <c r="T465" s="18" t="str">
        <f t="shared" si="362"/>
        <v>1+3.28211001789835i</v>
      </c>
      <c r="U465" s="18">
        <f t="shared" si="374"/>
        <v>3.4310707030879897</v>
      </c>
      <c r="V465" s="18">
        <f t="shared" si="375"/>
        <v>1.2750496304753749</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-0.22274580194093-0.046953087318439i</v>
      </c>
      <c r="AD465" s="66">
        <f t="shared" si="381"/>
        <v>-12.85500205410238</v>
      </c>
      <c r="AE465" s="63">
        <f t="shared" si="382"/>
        <v>-168.09675285145124</v>
      </c>
      <c r="AF465" s="51" t="e">
        <f t="shared" si="383"/>
        <v>#NUM!</v>
      </c>
      <c r="AG465" s="51" t="str">
        <f t="shared" si="365"/>
        <v>1-984.633005369507i</v>
      </c>
      <c r="AH465" s="51">
        <f t="shared" si="384"/>
        <v>984.63351317278841</v>
      </c>
      <c r="AI465" s="51">
        <f t="shared" si="385"/>
        <v>-1.5697807203194607</v>
      </c>
      <c r="AJ465" s="51" t="str">
        <f t="shared" si="366"/>
        <v>1+3.28211001789835i</v>
      </c>
      <c r="AK465" s="51">
        <f t="shared" si="386"/>
        <v>3.4310707030879897</v>
      </c>
      <c r="AL465" s="51">
        <f t="shared" si="387"/>
        <v>1.2750496304753749</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0.00279719727059879-0.0100756163852926i</v>
      </c>
      <c r="BG465" s="66">
        <f t="shared" si="403"/>
        <v>-39.612115642019972</v>
      </c>
      <c r="BH465" s="63">
        <f t="shared" si="404"/>
        <v>-74.484257232007536</v>
      </c>
      <c r="BI465" s="60" t="e">
        <f t="shared" si="409"/>
        <v>#NUM!</v>
      </c>
      <c r="BJ465" s="66" t="e">
        <f t="shared" si="405"/>
        <v>#NUM!</v>
      </c>
      <c r="BK465" s="63" t="e">
        <f t="shared" si="410"/>
        <v>#NUM!</v>
      </c>
      <c r="BL465" s="51">
        <f t="shared" si="406"/>
        <v>-39.612115642019972</v>
      </c>
      <c r="BM465" s="63">
        <f t="shared" si="407"/>
        <v>-74.484257232007536</v>
      </c>
    </row>
    <row r="466" spans="14:65" x14ac:dyDescent="0.3">
      <c r="N466" s="11">
        <v>48</v>
      </c>
      <c r="O466" s="52">
        <f t="shared" si="408"/>
        <v>301995.17204020242</v>
      </c>
      <c r="P466" s="50" t="str">
        <f t="shared" si="360"/>
        <v>23.3035714285714</v>
      </c>
      <c r="Q466" s="18" t="str">
        <f t="shared" si="361"/>
        <v>1+719.691467402109i</v>
      </c>
      <c r="R466" s="18">
        <f t="shared" si="372"/>
        <v>719.69216214392725</v>
      </c>
      <c r="S466" s="18">
        <f t="shared" si="373"/>
        <v>1.5694068433818795</v>
      </c>
      <c r="T466" s="18" t="str">
        <f t="shared" si="362"/>
        <v>1+3.35856018120984i</v>
      </c>
      <c r="U466" s="18">
        <f t="shared" si="374"/>
        <v>3.5042726050934268</v>
      </c>
      <c r="V466" s="18">
        <f t="shared" si="375"/>
        <v>1.281408117550952</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-0.223420227065699-0.0444650125075015i</v>
      </c>
      <c r="AD466" s="66">
        <f t="shared" si="381"/>
        <v>-12.848850685978441</v>
      </c>
      <c r="AE466" s="63">
        <f t="shared" si="382"/>
        <v>-168.7440879421753</v>
      </c>
      <c r="AF466" s="51" t="e">
        <f t="shared" si="383"/>
        <v>#NUM!</v>
      </c>
      <c r="AG466" s="51" t="str">
        <f t="shared" si="365"/>
        <v>1-1007.56805436295i</v>
      </c>
      <c r="AH466" s="51">
        <f t="shared" si="384"/>
        <v>1007.5685506072231</v>
      </c>
      <c r="AI466" s="51">
        <f t="shared" si="385"/>
        <v>-1.5698038383298989</v>
      </c>
      <c r="AJ466" s="51" t="str">
        <f t="shared" si="366"/>
        <v>1+3.35856018120984i</v>
      </c>
      <c r="AK466" s="51">
        <f t="shared" si="386"/>
        <v>3.5042726050934268</v>
      </c>
      <c r="AL466" s="51">
        <f t="shared" si="387"/>
        <v>1.281408117550952</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0.00261008080322162-0.00988824512401942i</v>
      </c>
      <c r="BG466" s="66">
        <f t="shared" si="403"/>
        <v>-39.805101964632719</v>
      </c>
      <c r="BH466" s="63">
        <f t="shared" si="404"/>
        <v>-75.213575309129965</v>
      </c>
      <c r="BI466" s="60" t="e">
        <f t="shared" si="409"/>
        <v>#NUM!</v>
      </c>
      <c r="BJ466" s="66" t="e">
        <f t="shared" si="405"/>
        <v>#NUM!</v>
      </c>
      <c r="BK466" s="63" t="e">
        <f t="shared" si="410"/>
        <v>#NUM!</v>
      </c>
      <c r="BL466" s="51">
        <f t="shared" si="406"/>
        <v>-39.805101964632719</v>
      </c>
      <c r="BM466" s="63">
        <f t="shared" si="407"/>
        <v>-75.213575309129965</v>
      </c>
    </row>
    <row r="467" spans="14:65" x14ac:dyDescent="0.3">
      <c r="N467" s="11">
        <v>49</v>
      </c>
      <c r="O467" s="52">
        <f t="shared" si="408"/>
        <v>309029.54325135931</v>
      </c>
      <c r="P467" s="50" t="str">
        <f t="shared" ref="P467:P530" si="411">COMPLEX(Adc,0)</f>
        <v>23.3035714285714</v>
      </c>
      <c r="Q467" s="18" t="str">
        <f t="shared" ref="Q467:Q530" si="412">IMSUM(COMPLEX(1,0),IMDIV(COMPLEX(0,2*PI()*O467),COMPLEX(wp_lf,0)))</f>
        <v>1+736.45523519683i</v>
      </c>
      <c r="R467" s="18">
        <f t="shared" si="372"/>
        <v>736.45591412440854</v>
      </c>
      <c r="S467" s="18">
        <f t="shared" si="373"/>
        <v>1.5694384718464656</v>
      </c>
      <c r="T467" s="18" t="str">
        <f t="shared" ref="T467:T530" si="413">IMSUM(COMPLEX(1,0),IMDIV(COMPLEX(0,2*PI()*O467),COMPLEX(wz_esr,0)))</f>
        <v>1+3.43679109758521i</v>
      </c>
      <c r="U467" s="18">
        <f t="shared" si="374"/>
        <v>3.5793201936179102</v>
      </c>
      <c r="V467" s="18">
        <f t="shared" si="375"/>
        <v>1.2876452188711578</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-0.224051310844418-0.0419704773931562i</v>
      </c>
      <c r="AD467" s="66">
        <f t="shared" si="381"/>
        <v>-12.843265876952332</v>
      </c>
      <c r="AE467" s="63">
        <f t="shared" si="382"/>
        <v>-169.39001505643134</v>
      </c>
      <c r="AF467" s="51" t="e">
        <f t="shared" si="383"/>
        <v>#NUM!</v>
      </c>
      <c r="AG467" s="51" t="str">
        <f t="shared" ref="AG467:AG530" si="416">IMSUM(COMPLEX(1,0),IMDIV(COMPLEX(0,2*PI()*O467),COMPLEX(wp_lf_DCM,0)))</f>
        <v>1-1031.03732927556i</v>
      </c>
      <c r="AH467" s="51">
        <f t="shared" si="384"/>
        <v>1031.0378142239401</v>
      </c>
      <c r="AI467" s="51">
        <f t="shared" si="385"/>
        <v>-1.5698264301111984</v>
      </c>
      <c r="AJ467" s="51" t="str">
        <f t="shared" ref="AJ467:AJ530" si="417">IMSUM(COMPLEX(1,0),IMDIV(COMPLEX(0,2*PI()*O467),COMPLEX(wz1_dcm,0)))</f>
        <v>1+3.43679109758521i</v>
      </c>
      <c r="AK467" s="51">
        <f t="shared" si="386"/>
        <v>3.5793201936179102</v>
      </c>
      <c r="AL467" s="51">
        <f t="shared" si="387"/>
        <v>1.2876452188711578</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0.00242980567246647-0.00970186231030793i</v>
      </c>
      <c r="BG467" s="66">
        <f t="shared" si="403"/>
        <v>-39.99869349590093</v>
      </c>
      <c r="BH467" s="63">
        <f t="shared" si="404"/>
        <v>-75.939635711647071</v>
      </c>
      <c r="BI467" s="60" t="e">
        <f t="shared" si="409"/>
        <v>#NUM!</v>
      </c>
      <c r="BJ467" s="66" t="e">
        <f t="shared" si="405"/>
        <v>#NUM!</v>
      </c>
      <c r="BK467" s="63" t="e">
        <f t="shared" si="410"/>
        <v>#NUM!</v>
      </c>
      <c r="BL467" s="51">
        <f t="shared" si="406"/>
        <v>-39.99869349590093</v>
      </c>
      <c r="BM467" s="63">
        <f t="shared" si="407"/>
        <v>-75.939635711647071</v>
      </c>
    </row>
    <row r="468" spans="14:65" x14ac:dyDescent="0.3">
      <c r="N468" s="11">
        <v>50</v>
      </c>
      <c r="O468" s="52">
        <f t="shared" si="408"/>
        <v>316227.7660168382</v>
      </c>
      <c r="P468" s="50" t="str">
        <f t="shared" si="411"/>
        <v>23.3035714285714</v>
      </c>
      <c r="Q468" s="18" t="str">
        <f t="shared" si="412"/>
        <v>1+753.60948130539i</v>
      </c>
      <c r="R468" s="18">
        <f t="shared" ref="R468:R531" si="423">IMABS(Q468)</f>
        <v>753.61014477870378</v>
      </c>
      <c r="S468" s="18">
        <f t="shared" ref="S468:S531" si="424">IMARGUMENT(Q468)</f>
        <v>1.569469380361926</v>
      </c>
      <c r="T468" s="18" t="str">
        <f t="shared" si="413"/>
        <v>1+3.51684424609182i</v>
      </c>
      <c r="U468" s="18">
        <f t="shared" ref="U468:U531" si="425">IMABS(T468)</f>
        <v>3.6562540189747677</v>
      </c>
      <c r="V468" s="18">
        <f t="shared" ref="V468:V531" si="426">IMARGUMENT(T468)</f>
        <v>1.2937622996349223</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-0.224638683810955-0.039470028660129i</v>
      </c>
      <c r="AD468" s="66">
        <f t="shared" ref="AD468:AD531" si="432">20*LOG(IMABS(AC468))</f>
        <v>-12.838261338285248</v>
      </c>
      <c r="AE468" s="63">
        <f t="shared" ref="AE468:AE531" si="433">(180/PI())*IMARGUMENT(AC468)</f>
        <v>-170.03459349136745</v>
      </c>
      <c r="AF468" s="51" t="e">
        <f t="shared" ref="AF468:AF531" si="434">COMPLEX($B$68,0)</f>
        <v>#NUM!</v>
      </c>
      <c r="AG468" s="51" t="str">
        <f t="shared" si="416"/>
        <v>1-1055.05327382755i</v>
      </c>
      <c r="AH468" s="51">
        <f t="shared" ref="AH468:AH531" si="435">IMABS(AG468)</f>
        <v>1055.053747737162</v>
      </c>
      <c r="AI468" s="51">
        <f t="shared" ref="AI468:AI531" si="436">IMARGUMENT(AG468)</f>
        <v>-1.5698485076417288</v>
      </c>
      <c r="AJ468" s="51" t="str">
        <f t="shared" si="417"/>
        <v>1+3.51684424609182i</v>
      </c>
      <c r="AK468" s="51">
        <f t="shared" ref="AK468:AK531" si="437">IMABS(AJ468)</f>
        <v>3.6562540189747677</v>
      </c>
      <c r="AL468" s="51">
        <f t="shared" ref="AL468:AL531" si="438">IMARGUMENT(AJ468)</f>
        <v>1.2937622996349223</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0.00225619212181926-0.00951656766056071i</v>
      </c>
      <c r="BG468" s="66">
        <f t="shared" ref="BG468:BG531" si="454">20*LOG(IMABS(BF468))</f>
        <v>-40.192902221657789</v>
      </c>
      <c r="BH468" s="63">
        <f t="shared" ref="BH468:BH531" si="455">(180/PI())*IMARGUMENT(BF468)</f>
        <v>-76.662538748027558</v>
      </c>
      <c r="BI468" s="60" t="e">
        <f t="shared" si="409"/>
        <v>#NUM!</v>
      </c>
      <c r="BJ468" s="66" t="e">
        <f t="shared" ref="BJ468:BJ531" si="456">20*LOG(IMABS(BI468))</f>
        <v>#NUM!</v>
      </c>
      <c r="BK468" s="63" t="e">
        <f t="shared" si="410"/>
        <v>#NUM!</v>
      </c>
      <c r="BL468" s="51">
        <f t="shared" ref="BL468:BL531" si="457">IF($B$31=0,BJ468,BG468)</f>
        <v>-40.192902221657789</v>
      </c>
      <c r="BM468" s="63">
        <f t="shared" ref="BM468:BM531" si="458">IF($B$31=0,BK468,BH468)</f>
        <v>-76.662538748027558</v>
      </c>
    </row>
    <row r="469" spans="14:65" x14ac:dyDescent="0.3">
      <c r="N469" s="11">
        <v>51</v>
      </c>
      <c r="O469" s="52">
        <f t="shared" si="408"/>
        <v>323593.65692962846</v>
      </c>
      <c r="P469" s="50" t="str">
        <f t="shared" si="411"/>
        <v>23.3035714285714</v>
      </c>
      <c r="Q469" s="18" t="str">
        <f t="shared" si="412"/>
        <v>1+771.163301136139i</v>
      </c>
      <c r="R469" s="18">
        <f t="shared" si="423"/>
        <v>771.16394950696917</v>
      </c>
      <c r="S469" s="18">
        <f t="shared" si="424"/>
        <v>1.5694995853161284</v>
      </c>
      <c r="T469" s="18" t="str">
        <f t="shared" si="413"/>
        <v>1+3.59876207196865i</v>
      </c>
      <c r="U469" s="18">
        <f t="shared" si="425"/>
        <v>3.7351155873199011</v>
      </c>
      <c r="V469" s="18">
        <f t="shared" si="426"/>
        <v>1.2997607713457269</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-0.22518200098549-0.0369641966876921i</v>
      </c>
      <c r="AD469" s="66">
        <f t="shared" si="432"/>
        <v>-12.833850209785249</v>
      </c>
      <c r="AE469" s="63">
        <f t="shared" si="433"/>
        <v>-170.67789049382759</v>
      </c>
      <c r="AF469" s="51" t="e">
        <f t="shared" si="434"/>
        <v>#NUM!</v>
      </c>
      <c r="AG469" s="51" t="str">
        <f t="shared" si="416"/>
        <v>1-1079.6286215906i</v>
      </c>
      <c r="AH469" s="51">
        <f t="shared" si="435"/>
        <v>1079.629084712717</v>
      </c>
      <c r="AI469" s="51">
        <f t="shared" si="436"/>
        <v>-1.5698700826272025</v>
      </c>
      <c r="AJ469" s="51" t="str">
        <f t="shared" si="417"/>
        <v>1+3.59876207196865i</v>
      </c>
      <c r="AK469" s="51">
        <f t="shared" si="437"/>
        <v>3.7351155873199011</v>
      </c>
      <c r="AL469" s="51">
        <f t="shared" si="438"/>
        <v>1.2997607713457269</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0.00208906258097385-0.0093324557757068i</v>
      </c>
      <c r="BG469" s="66">
        <f t="shared" si="454"/>
        <v>-40.387739632708048</v>
      </c>
      <c r="BH469" s="63">
        <f t="shared" si="455"/>
        <v>-77.382391815220558</v>
      </c>
      <c r="BI469" s="60" t="e">
        <f t="shared" si="409"/>
        <v>#NUM!</v>
      </c>
      <c r="BJ469" s="66" t="e">
        <f t="shared" si="456"/>
        <v>#NUM!</v>
      </c>
      <c r="BK469" s="63" t="e">
        <f t="shared" si="410"/>
        <v>#NUM!</v>
      </c>
      <c r="BL469" s="51">
        <f t="shared" si="457"/>
        <v>-40.387739632708048</v>
      </c>
      <c r="BM469" s="63">
        <f t="shared" si="458"/>
        <v>-77.382391815220558</v>
      </c>
    </row>
    <row r="470" spans="14:65" x14ac:dyDescent="0.3">
      <c r="N470" s="11">
        <v>52</v>
      </c>
      <c r="O470" s="52">
        <f t="shared" si="408"/>
        <v>331131.12148259126</v>
      </c>
      <c r="P470" s="50" t="str">
        <f t="shared" si="411"/>
        <v>23.3035714285714</v>
      </c>
      <c r="Q470" s="18" t="str">
        <f t="shared" si="412"/>
        <v>1+789.126001956707i</v>
      </c>
      <c r="R470" s="18">
        <f t="shared" si="423"/>
        <v>789.12663556882717</v>
      </c>
      <c r="S470" s="18">
        <f t="shared" si="424"/>
        <v>1.5695291027239184</v>
      </c>
      <c r="T470" s="18" t="str">
        <f t="shared" si="413"/>
        <v>1+3.6825880091313i</v>
      </c>
      <c r="U470" s="18">
        <f t="shared" si="425"/>
        <v>3.8159473849881143</v>
      </c>
      <c r="V470" s="18">
        <f t="shared" si="426"/>
        <v>1.3056420871116698</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-0.225680938030335-0.0344534951501016i</v>
      </c>
      <c r="AD470" s="66">
        <f t="shared" si="432"/>
        <v>-12.830045162669483</v>
      </c>
      <c r="AE470" s="63">
        <f t="shared" si="433"/>
        <v>-171.3199809845251</v>
      </c>
      <c r="AF470" s="51" t="e">
        <f t="shared" si="434"/>
        <v>#NUM!</v>
      </c>
      <c r="AG470" s="51" t="str">
        <f t="shared" si="416"/>
        <v>1-1104.77640273939i</v>
      </c>
      <c r="AH470" s="51">
        <f t="shared" si="435"/>
        <v>1104.7768553195649</v>
      </c>
      <c r="AI470" s="51">
        <f t="shared" si="436"/>
        <v>-1.5698911665068824</v>
      </c>
      <c r="AJ470" s="51" t="str">
        <f t="shared" si="417"/>
        <v>1+3.6825880091313i</v>
      </c>
      <c r="AK470" s="51">
        <f t="shared" si="437"/>
        <v>3.8159473849881143</v>
      </c>
      <c r="AL470" s="51">
        <f t="shared" si="438"/>
        <v>1.3056420871116698</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0.0019282417582523-0.00914961611705296i</v>
      </c>
      <c r="BG470" s="66">
        <f t="shared" si="454"/>
        <v>-40.583216824357791</v>
      </c>
      <c r="BH470" s="63">
        <f t="shared" si="455"/>
        <v>-78.099309137675021</v>
      </c>
      <c r="BI470" s="60" t="e">
        <f t="shared" si="409"/>
        <v>#NUM!</v>
      </c>
      <c r="BJ470" s="66" t="e">
        <f t="shared" si="456"/>
        <v>#NUM!</v>
      </c>
      <c r="BK470" s="63" t="e">
        <f t="shared" si="410"/>
        <v>#NUM!</v>
      </c>
      <c r="BL470" s="51">
        <f t="shared" si="457"/>
        <v>-40.583216824357791</v>
      </c>
      <c r="BM470" s="63">
        <f t="shared" si="458"/>
        <v>-78.099309137675021</v>
      </c>
    </row>
    <row r="471" spans="14:65" x14ac:dyDescent="0.3">
      <c r="N471" s="11">
        <v>53</v>
      </c>
      <c r="O471" s="52">
        <f t="shared" si="408"/>
        <v>338844.15613920329</v>
      </c>
      <c r="P471" s="50" t="str">
        <f t="shared" si="411"/>
        <v>23.3035714285714</v>
      </c>
      <c r="Q471" s="18" t="str">
        <f t="shared" si="412"/>
        <v>1+807.507107828827i</v>
      </c>
      <c r="R471" s="18">
        <f t="shared" si="423"/>
        <v>807.50772701818585</v>
      </c>
      <c r="S471" s="18">
        <f t="shared" si="424"/>
        <v>1.5695579482356108</v>
      </c>
      <c r="T471" s="18" t="str">
        <f t="shared" si="413"/>
        <v>1+3.7683665032012i</v>
      </c>
      <c r="U471" s="18">
        <f t="shared" si="425"/>
        <v>3.8987929032520872</v>
      </c>
      <c r="V471" s="18">
        <f t="shared" si="426"/>
        <v>1.3114077371590869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-0.226135187475662-0.0319384209814456i</v>
      </c>
      <c r="AD471" s="66">
        <f t="shared" si="432"/>
        <v>-12.82685849915352</v>
      </c>
      <c r="AE471" s="63">
        <f t="shared" si="433"/>
        <v>-171.96094726016716</v>
      </c>
      <c r="AF471" s="51" t="e">
        <f t="shared" si="434"/>
        <v>#NUM!</v>
      </c>
      <c r="AG471" s="51" t="str">
        <f t="shared" si="416"/>
        <v>1-1130.50995096036i</v>
      </c>
      <c r="AH471" s="51">
        <f t="shared" si="435"/>
        <v>1130.5103932385562</v>
      </c>
      <c r="AI471" s="51">
        <f t="shared" si="436"/>
        <v>-1.5699117704596453</v>
      </c>
      <c r="AJ471" s="51" t="str">
        <f t="shared" si="417"/>
        <v>1+3.7683665032012i</v>
      </c>
      <c r="AK471" s="51">
        <f t="shared" si="437"/>
        <v>3.8987929032520872</v>
      </c>
      <c r="AL471" s="51">
        <f t="shared" si="438"/>
        <v>1.3114077371590869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0.00177355674061783-0.00896813300554765i</v>
      </c>
      <c r="BG471" s="66">
        <f t="shared" si="454"/>
        <v>-40.779344592812528</v>
      </c>
      <c r="BH471" s="63">
        <f t="shared" si="455"/>
        <v>-78.813411484281104</v>
      </c>
      <c r="BI471" s="60" t="e">
        <f t="shared" si="409"/>
        <v>#NUM!</v>
      </c>
      <c r="BJ471" s="66" t="e">
        <f t="shared" si="456"/>
        <v>#NUM!</v>
      </c>
      <c r="BK471" s="63" t="e">
        <f t="shared" si="410"/>
        <v>#NUM!</v>
      </c>
      <c r="BL471" s="51">
        <f t="shared" si="457"/>
        <v>-40.779344592812528</v>
      </c>
      <c r="BM471" s="63">
        <f t="shared" si="458"/>
        <v>-78.813411484281104</v>
      </c>
    </row>
    <row r="472" spans="14:65" x14ac:dyDescent="0.3">
      <c r="N472" s="11">
        <v>54</v>
      </c>
      <c r="O472" s="52">
        <f t="shared" si="408"/>
        <v>346736.85045253241</v>
      </c>
      <c r="P472" s="50" t="str">
        <f t="shared" si="411"/>
        <v>23.3035714285714</v>
      </c>
      <c r="Q472" s="18" t="str">
        <f t="shared" si="412"/>
        <v>1+826.316364658138i</v>
      </c>
      <c r="R472" s="18">
        <f t="shared" si="423"/>
        <v>826.31696975303669</v>
      </c>
      <c r="S472" s="18">
        <f t="shared" si="424"/>
        <v>1.5695861371452855</v>
      </c>
      <c r="T472" s="18" t="str">
        <f t="shared" si="413"/>
        <v>1+3.85614303507131i</v>
      </c>
      <c r="U472" s="18">
        <f t="shared" si="425"/>
        <v>3.9836966635185687</v>
      </c>
      <c r="V472" s="18">
        <f t="shared" si="426"/>
        <v>1.3170592445589593</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-0.226544455041634-0.0294194546909238i</v>
      </c>
      <c r="AD472" s="66">
        <f t="shared" si="432"/>
        <v>-12.824302248594545</v>
      </c>
      <c r="AE472" s="63">
        <f t="shared" si="433"/>
        <v>-172.60087867548933</v>
      </c>
      <c r="AF472" s="51" t="e">
        <f t="shared" si="434"/>
        <v>#NUM!</v>
      </c>
      <c r="AG472" s="51" t="str">
        <f t="shared" si="416"/>
        <v>1-1156.8429105214i</v>
      </c>
      <c r="AH472" s="51">
        <f t="shared" si="435"/>
        <v>1156.8433427321195</v>
      </c>
      <c r="AI472" s="51">
        <f t="shared" si="436"/>
        <v>-1.5699319054099097</v>
      </c>
      <c r="AJ472" s="51" t="str">
        <f t="shared" si="417"/>
        <v>1+3.85614303507131i</v>
      </c>
      <c r="AK472" s="51">
        <f t="shared" si="437"/>
        <v>3.9836966635185687</v>
      </c>
      <c r="AL472" s="51">
        <f t="shared" si="438"/>
        <v>1.3170592445589593</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0.00162483709854191-0.00878808564337495i</v>
      </c>
      <c r="BG472" s="66">
        <f t="shared" si="454"/>
        <v>-40.97613352826383</v>
      </c>
      <c r="BH472" s="63">
        <f t="shared" si="455"/>
        <v>-79.524825865175856</v>
      </c>
      <c r="BI472" s="60" t="e">
        <f t="shared" si="409"/>
        <v>#NUM!</v>
      </c>
      <c r="BJ472" s="66" t="e">
        <f t="shared" si="456"/>
        <v>#NUM!</v>
      </c>
      <c r="BK472" s="63" t="e">
        <f t="shared" si="410"/>
        <v>#NUM!</v>
      </c>
      <c r="BL472" s="51">
        <f t="shared" si="457"/>
        <v>-40.97613352826383</v>
      </c>
      <c r="BM472" s="63">
        <f t="shared" si="458"/>
        <v>-79.524825865175856</v>
      </c>
    </row>
    <row r="473" spans="14:65" x14ac:dyDescent="0.3">
      <c r="N473" s="11">
        <v>55</v>
      </c>
      <c r="O473" s="52">
        <f t="shared" si="408"/>
        <v>354813.38923357555</v>
      </c>
      <c r="P473" s="50" t="str">
        <f t="shared" si="411"/>
        <v>23.3035714285714</v>
      </c>
      <c r="Q473" s="18" t="str">
        <f t="shared" si="412"/>
        <v>1+845.563745361577i</v>
      </c>
      <c r="R473" s="18">
        <f t="shared" si="423"/>
        <v>845.56433668284399</v>
      </c>
      <c r="S473" s="18">
        <f t="shared" si="424"/>
        <v>1.5696136843988961</v>
      </c>
      <c r="T473" s="18" t="str">
        <f t="shared" si="413"/>
        <v>1+3.94596414502069i</v>
      </c>
      <c r="U473" s="18">
        <f t="shared" si="425"/>
        <v>4.0707042429767437</v>
      </c>
      <c r="V473" s="18">
        <f t="shared" si="426"/>
        <v>1.3225981611643058</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-0.226908456081504-0.0268970610133329i</v>
      </c>
      <c r="AD473" s="66">
        <f t="shared" si="432"/>
        <v>-12.822388260048525</v>
      </c>
      <c r="AE473" s="63">
        <f t="shared" si="433"/>
        <v>-173.23987130705581</v>
      </c>
      <c r="AF473" s="51" t="e">
        <f t="shared" si="434"/>
        <v>#NUM!</v>
      </c>
      <c r="AG473" s="51" t="str">
        <f t="shared" si="416"/>
        <v>1-1183.78924350621i</v>
      </c>
      <c r="AH473" s="51">
        <f t="shared" si="435"/>
        <v>1183.7896658786156</v>
      </c>
      <c r="AI473" s="51">
        <f t="shared" si="436"/>
        <v>-1.5699515820334276</v>
      </c>
      <c r="AJ473" s="51" t="str">
        <f t="shared" si="417"/>
        <v>1+3.94596414502069i</v>
      </c>
      <c r="AK473" s="51">
        <f t="shared" si="437"/>
        <v>4.0707042429767437</v>
      </c>
      <c r="AL473" s="51">
        <f t="shared" si="438"/>
        <v>1.3225981611643058</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0.00148191499325731-0.00860954815664146i</v>
      </c>
      <c r="BG473" s="66">
        <f t="shared" si="454"/>
        <v>-41.173594104519964</v>
      </c>
      <c r="BH473" s="63">
        <f t="shared" si="455"/>
        <v>-80.233685210249064</v>
      </c>
      <c r="BI473" s="60" t="e">
        <f t="shared" si="409"/>
        <v>#NUM!</v>
      </c>
      <c r="BJ473" s="66" t="e">
        <f t="shared" si="456"/>
        <v>#NUM!</v>
      </c>
      <c r="BK473" s="63" t="e">
        <f t="shared" si="410"/>
        <v>#NUM!</v>
      </c>
      <c r="BL473" s="51">
        <f t="shared" si="457"/>
        <v>-41.173594104519964</v>
      </c>
      <c r="BM473" s="63">
        <f t="shared" si="458"/>
        <v>-80.233685210249064</v>
      </c>
    </row>
    <row r="474" spans="14:65" x14ac:dyDescent="0.3">
      <c r="N474" s="11">
        <v>56</v>
      </c>
      <c r="O474" s="52">
        <f t="shared" si="408"/>
        <v>363078.05477010203</v>
      </c>
      <c r="P474" s="50" t="str">
        <f t="shared" si="411"/>
        <v>23.3035714285714</v>
      </c>
      <c r="Q474" s="18" t="str">
        <f t="shared" si="412"/>
        <v>1+865.259455155173i</v>
      </c>
      <c r="R474" s="18">
        <f t="shared" si="423"/>
        <v>865.26003301633364</v>
      </c>
      <c r="S474" s="18">
        <f t="shared" si="424"/>
        <v>1.5696406046021938</v>
      </c>
      <c r="T474" s="18" t="str">
        <f t="shared" si="413"/>
        <v>1+4.03787745739081i</v>
      </c>
      <c r="U474" s="18">
        <f t="shared" si="425"/>
        <v>4.159862300714396</v>
      </c>
      <c r="V474" s="18">
        <f t="shared" si="426"/>
        <v>1.3280260637558774</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-0.22722691216811-0.0243716898784354i</v>
      </c>
      <c r="AD474" s="66">
        <f t="shared" si="432"/>
        <v>-12.821128291140585</v>
      </c>
      <c r="AE474" s="63">
        <f t="shared" si="433"/>
        <v>-173.87802760058284</v>
      </c>
      <c r="AF474" s="51" t="e">
        <f t="shared" si="434"/>
        <v>#NUM!</v>
      </c>
      <c r="AG474" s="51" t="str">
        <f t="shared" si="416"/>
        <v>1-1211.36323721724i</v>
      </c>
      <c r="AH474" s="51">
        <f t="shared" si="435"/>
        <v>1211.3636499752797</v>
      </c>
      <c r="AI474" s="51">
        <f t="shared" si="436"/>
        <v>-1.5699708107629438</v>
      </c>
      <c r="AJ474" s="51" t="str">
        <f t="shared" si="417"/>
        <v>1+4.03787745739081i</v>
      </c>
      <c r="AK474" s="51">
        <f t="shared" si="437"/>
        <v>4.159862300714396</v>
      </c>
      <c r="AL474" s="51">
        <f t="shared" si="438"/>
        <v>1.3280260637558774</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0.0013446252841901-0.00843258965779298i</v>
      </c>
      <c r="BG474" s="66">
        <f t="shared" si="454"/>
        <v>-41.37173676507409</v>
      </c>
      <c r="BH474" s="63">
        <f t="shared" si="455"/>
        <v>-80.94012803109247</v>
      </c>
      <c r="BI474" s="60" t="e">
        <f t="shared" si="409"/>
        <v>#NUM!</v>
      </c>
      <c r="BJ474" s="66" t="e">
        <f t="shared" si="456"/>
        <v>#NUM!</v>
      </c>
      <c r="BK474" s="63" t="e">
        <f t="shared" si="410"/>
        <v>#NUM!</v>
      </c>
      <c r="BL474" s="51">
        <f t="shared" si="457"/>
        <v>-41.37173676507409</v>
      </c>
      <c r="BM474" s="63">
        <f t="shared" si="458"/>
        <v>-80.94012803109247</v>
      </c>
    </row>
    <row r="475" spans="14:65" x14ac:dyDescent="0.3">
      <c r="N475" s="11">
        <v>57</v>
      </c>
      <c r="O475" s="52">
        <f t="shared" si="408"/>
        <v>371535.2290971732</v>
      </c>
      <c r="P475" s="50" t="str">
        <f t="shared" si="411"/>
        <v>23.3035714285714</v>
      </c>
      <c r="Q475" s="18" t="str">
        <f t="shared" si="412"/>
        <v>1+885.413936964951i</v>
      </c>
      <c r="R475" s="18">
        <f t="shared" si="423"/>
        <v>885.41450167239429</v>
      </c>
      <c r="S475" s="18">
        <f t="shared" si="424"/>
        <v>1.5696669120284708</v>
      </c>
      <c r="T475" s="18" t="str">
        <f t="shared" si="413"/>
        <v>1+4.13193170583644i</v>
      </c>
      <c r="U475" s="18">
        <f t="shared" si="425"/>
        <v>4.251218604317641</v>
      </c>
      <c r="V475" s="18">
        <f t="shared" si="426"/>
        <v>1.3333445503926691</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-0.227499547844446-0.0218437776821599i</v>
      </c>
      <c r="AD475" s="66">
        <f t="shared" si="432"/>
        <v>-12.820534093170995</v>
      </c>
      <c r="AE475" s="63">
        <f t="shared" si="433"/>
        <v>-174.5154560034126</v>
      </c>
      <c r="AF475" s="51" t="e">
        <f t="shared" si="434"/>
        <v>#NUM!</v>
      </c>
      <c r="AG475" s="51" t="str">
        <f t="shared" si="416"/>
        <v>1-1239.57951175093i</v>
      </c>
      <c r="AH475" s="51">
        <f t="shared" si="435"/>
        <v>1239.5799151134524</v>
      </c>
      <c r="AI475" s="51">
        <f t="shared" si="436"/>
        <v>-1.5699896017937287</v>
      </c>
      <c r="AJ475" s="51" t="str">
        <f t="shared" si="417"/>
        <v>1+4.13193170583644i</v>
      </c>
      <c r="AK475" s="51">
        <f t="shared" si="437"/>
        <v>4.251218604317641</v>
      </c>
      <c r="AL475" s="51">
        <f t="shared" si="438"/>
        <v>1.3333445503926691</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0.00121280563462528-0.00825727432631266i</v>
      </c>
      <c r="BG475" s="66">
        <f t="shared" si="454"/>
        <v>-41.570572005527886</v>
      </c>
      <c r="BH475" s="63">
        <f t="shared" si="455"/>
        <v>-81.64429806800355</v>
      </c>
      <c r="BI475" s="60" t="e">
        <f t="shared" si="409"/>
        <v>#NUM!</v>
      </c>
      <c r="BJ475" s="66" t="e">
        <f t="shared" si="456"/>
        <v>#NUM!</v>
      </c>
      <c r="BK475" s="63" t="e">
        <f t="shared" si="410"/>
        <v>#NUM!</v>
      </c>
      <c r="BL475" s="51">
        <f t="shared" si="457"/>
        <v>-41.570572005527886</v>
      </c>
      <c r="BM475" s="63">
        <f t="shared" si="458"/>
        <v>-81.64429806800355</v>
      </c>
    </row>
    <row r="476" spans="14:65" x14ac:dyDescent="0.3">
      <c r="N476" s="11">
        <v>58</v>
      </c>
      <c r="O476" s="52">
        <f t="shared" si="408"/>
        <v>380189.39632056188</v>
      </c>
      <c r="P476" s="50" t="str">
        <f t="shared" si="411"/>
        <v>23.3035714285714</v>
      </c>
      <c r="Q476" s="18" t="str">
        <f t="shared" si="412"/>
        <v>1+906.037876963948i</v>
      </c>
      <c r="R476" s="18">
        <f t="shared" si="423"/>
        <v>906.03842881708829</v>
      </c>
      <c r="S476" s="18">
        <f t="shared" si="424"/>
        <v>1.5696926206261268</v>
      </c>
      <c r="T476" s="18" t="str">
        <f t="shared" si="413"/>
        <v>1+4.22817675916509i</v>
      </c>
      <c r="U476" s="18">
        <f t="shared" si="425"/>
        <v>4.3448220569712408</v>
      </c>
      <c r="V476" s="18">
        <f t="shared" si="426"/>
        <v>1.3385552369631457</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-0.227726087557012-0.0193137488419033i</v>
      </c>
      <c r="AD476" s="66">
        <f t="shared" si="432"/>
        <v>-12.820617492410944</v>
      </c>
      <c r="AE476" s="63">
        <f t="shared" si="433"/>
        <v>-175.15227058365522</v>
      </c>
      <c r="AF476" s="51" t="e">
        <f t="shared" si="434"/>
        <v>#NUM!</v>
      </c>
      <c r="AG476" s="51" t="str">
        <f t="shared" si="416"/>
        <v>1-1268.45302774953i</v>
      </c>
      <c r="AH476" s="51">
        <f t="shared" si="435"/>
        <v>1268.4534219304035</v>
      </c>
      <c r="AI476" s="51">
        <f t="shared" si="436"/>
        <v>-1.5700079650889824</v>
      </c>
      <c r="AJ476" s="51" t="str">
        <f t="shared" si="417"/>
        <v>1+4.22817675916509i</v>
      </c>
      <c r="AK476" s="51">
        <f t="shared" si="437"/>
        <v>4.3448220569712408</v>
      </c>
      <c r="AL476" s="51">
        <f t="shared" si="438"/>
        <v>1.3385552369631457</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0.00108629661390568-0.00808366150618653i</v>
      </c>
      <c r="BG476" s="66">
        <f t="shared" si="454"/>
        <v>-41.770110452319486</v>
      </c>
      <c r="BH476" s="63">
        <f t="shared" si="455"/>
        <v>-82.346343923549554</v>
      </c>
      <c r="BI476" s="60" t="e">
        <f t="shared" si="409"/>
        <v>#NUM!</v>
      </c>
      <c r="BJ476" s="66" t="e">
        <f t="shared" si="456"/>
        <v>#NUM!</v>
      </c>
      <c r="BK476" s="63" t="e">
        <f t="shared" si="410"/>
        <v>#NUM!</v>
      </c>
      <c r="BL476" s="51">
        <f t="shared" si="457"/>
        <v>-41.770110452319486</v>
      </c>
      <c r="BM476" s="63">
        <f t="shared" si="458"/>
        <v>-82.346343923549554</v>
      </c>
    </row>
    <row r="477" spans="14:65" x14ac:dyDescent="0.3">
      <c r="N477" s="11">
        <v>59</v>
      </c>
      <c r="O477" s="52">
        <f t="shared" si="408"/>
        <v>389045.14499428123</v>
      </c>
      <c r="P477" s="50" t="str">
        <f t="shared" si="411"/>
        <v>23.3035714285714</v>
      </c>
      <c r="Q477" s="18" t="str">
        <f t="shared" si="412"/>
        <v>1+927.14221023814i</v>
      </c>
      <c r="R477" s="18">
        <f t="shared" si="423"/>
        <v>927.14274952957669</v>
      </c>
      <c r="S477" s="18">
        <f t="shared" si="424"/>
        <v>1.5697177440260646</v>
      </c>
      <c r="T477" s="18" t="str">
        <f t="shared" si="413"/>
        <v>1+4.32666364777799i</v>
      </c>
      <c r="U477" s="18">
        <f t="shared" si="425"/>
        <v>4.4407227250756769</v>
      </c>
      <c r="V477" s="18">
        <f t="shared" si="426"/>
        <v>1.3436597539324224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-0.227906252789031-0.0167820176178528i</v>
      </c>
      <c r="AD477" s="66">
        <f t="shared" si="432"/>
        <v>-12.821390467560585</v>
      </c>
      <c r="AE477" s="63">
        <f t="shared" si="433"/>
        <v>-175.78859063737389</v>
      </c>
      <c r="AF477" s="51" t="e">
        <f t="shared" si="434"/>
        <v>#NUM!</v>
      </c>
      <c r="AG477" s="51" t="str">
        <f t="shared" si="416"/>
        <v>1-1297.9990943334i</v>
      </c>
      <c r="AH477" s="51">
        <f t="shared" si="435"/>
        <v>1297.9994795416242</v>
      </c>
      <c r="AI477" s="51">
        <f t="shared" si="436"/>
        <v>-1.5700259103851175</v>
      </c>
      <c r="AJ477" s="51" t="str">
        <f t="shared" si="417"/>
        <v>1+4.32666364777799i</v>
      </c>
      <c r="AK477" s="51">
        <f t="shared" si="437"/>
        <v>4.4407227250756769</v>
      </c>
      <c r="AL477" s="51">
        <f t="shared" si="438"/>
        <v>1.3436597539324224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0.000964941794703877-0.00791180581858928i</v>
      </c>
      <c r="BG477" s="66">
        <f t="shared" si="454"/>
        <v>-41.970362937724381</v>
      </c>
      <c r="BH477" s="63">
        <f t="shared" si="455"/>
        <v>-83.046418684054046</v>
      </c>
      <c r="BI477" s="60" t="e">
        <f t="shared" si="409"/>
        <v>#NUM!</v>
      </c>
      <c r="BJ477" s="66" t="e">
        <f t="shared" si="456"/>
        <v>#NUM!</v>
      </c>
      <c r="BK477" s="63" t="e">
        <f t="shared" si="410"/>
        <v>#NUM!</v>
      </c>
      <c r="BL477" s="51">
        <f t="shared" si="457"/>
        <v>-41.970362937724381</v>
      </c>
      <c r="BM477" s="63">
        <f t="shared" si="458"/>
        <v>-83.046418684054046</v>
      </c>
    </row>
    <row r="478" spans="14:65" x14ac:dyDescent="0.3">
      <c r="N478" s="11">
        <v>60</v>
      </c>
      <c r="O478" s="52">
        <f t="shared" si="408"/>
        <v>398107.17055349716</v>
      </c>
      <c r="P478" s="50" t="str">
        <f t="shared" si="411"/>
        <v>23.3035714285714</v>
      </c>
      <c r="Q478" s="18" t="str">
        <f t="shared" si="412"/>
        <v>1+948.738126584376i</v>
      </c>
      <c r="R478" s="18">
        <f t="shared" si="423"/>
        <v>948.73865360004777</v>
      </c>
      <c r="S478" s="18">
        <f t="shared" si="424"/>
        <v>1.5697422955489164</v>
      </c>
      <c r="T478" s="18" t="str">
        <f t="shared" si="413"/>
        <v>1+4.42744459072709i</v>
      </c>
      <c r="U478" s="18">
        <f t="shared" si="425"/>
        <v>4.538971866398664</v>
      </c>
      <c r="V478" s="18">
        <f t="shared" si="426"/>
        <v>1.3486597432802352</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-0.228039759409016-0.0142489901819278i</v>
      </c>
      <c r="AD478" s="66">
        <f t="shared" si="432"/>
        <v>-12.822865223361079</v>
      </c>
      <c r="AE478" s="63">
        <f t="shared" si="433"/>
        <v>-176.42454028506623</v>
      </c>
      <c r="AF478" s="51" t="e">
        <f t="shared" si="434"/>
        <v>#NUM!</v>
      </c>
      <c r="AG478" s="51" t="str">
        <f t="shared" si="416"/>
        <v>1-1328.23337721813i</v>
      </c>
      <c r="AH478" s="51">
        <f t="shared" si="435"/>
        <v>1328.2337536579469</v>
      </c>
      <c r="AI478" s="51">
        <f t="shared" si="436"/>
        <v>-1.5700434471969213</v>
      </c>
      <c r="AJ478" s="51" t="str">
        <f t="shared" si="417"/>
        <v>1+4.42744459072709i</v>
      </c>
      <c r="AK478" s="51">
        <f t="shared" si="437"/>
        <v>4.538971866398664</v>
      </c>
      <c r="AL478" s="51">
        <f t="shared" si="438"/>
        <v>1.3486597432802352</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0.000848587844129209-0.00774175728823207i</v>
      </c>
      <c r="BG478" s="66">
        <f t="shared" si="454"/>
        <v>-42.171340571115323</v>
      </c>
      <c r="BH478" s="63">
        <f t="shared" si="455"/>
        <v>-83.744679530249257</v>
      </c>
      <c r="BI478" s="60" t="e">
        <f t="shared" si="409"/>
        <v>#NUM!</v>
      </c>
      <c r="BJ478" s="66" t="e">
        <f t="shared" si="456"/>
        <v>#NUM!</v>
      </c>
      <c r="BK478" s="63" t="e">
        <f t="shared" si="410"/>
        <v>#NUM!</v>
      </c>
      <c r="BL478" s="51">
        <f t="shared" si="457"/>
        <v>-42.171340571115323</v>
      </c>
      <c r="BM478" s="63">
        <f t="shared" si="458"/>
        <v>-83.744679530249257</v>
      </c>
    </row>
    <row r="479" spans="14:65" x14ac:dyDescent="0.3">
      <c r="N479" s="11">
        <v>61</v>
      </c>
      <c r="O479" s="52">
        <f t="shared" si="408"/>
        <v>407380.27780411334</v>
      </c>
      <c r="P479" s="50" t="str">
        <f t="shared" si="411"/>
        <v>23.3035714285714</v>
      </c>
      <c r="Q479" s="18" t="str">
        <f t="shared" si="412"/>
        <v>1+970.837076443364i</v>
      </c>
      <c r="R479" s="18">
        <f t="shared" si="423"/>
        <v>970.83759146270097</v>
      </c>
      <c r="S479" s="18">
        <f t="shared" si="424"/>
        <v>1.5697662882121062</v>
      </c>
      <c r="T479" s="18" t="str">
        <f t="shared" si="413"/>
        <v>1+4.53057302340237i</v>
      </c>
      <c r="U479" s="18">
        <f t="shared" si="425"/>
        <v>4.6396219587786778</v>
      </c>
      <c r="V479" s="18">
        <f t="shared" si="426"/>
        <v>1.3535568556241122</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-0.228126315248726-0.0117150669157892i</v>
      </c>
      <c r="AD479" s="66">
        <f t="shared" si="432"/>
        <v>-12.82505426036696</v>
      </c>
      <c r="AE479" s="63">
        <f t="shared" si="433"/>
        <v>-177.06024805856367</v>
      </c>
      <c r="AF479" s="51" t="e">
        <f t="shared" si="434"/>
        <v>#NUM!</v>
      </c>
      <c r="AG479" s="51" t="str">
        <f t="shared" si="416"/>
        <v>1-1359.17190702071i</v>
      </c>
      <c r="AH479" s="51">
        <f t="shared" si="435"/>
        <v>1359.172274891713</v>
      </c>
      <c r="AI479" s="51">
        <f t="shared" si="436"/>
        <v>-1.5700605848226001</v>
      </c>
      <c r="AJ479" s="51" t="str">
        <f t="shared" si="417"/>
        <v>1+4.53057302340237i</v>
      </c>
      <c r="AK479" s="51">
        <f t="shared" si="437"/>
        <v>4.6396219587786778</v>
      </c>
      <c r="AL479" s="51">
        <f t="shared" si="438"/>
        <v>1.3535568556241122</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0.000737084607641374-0.00757356148182035i</v>
      </c>
      <c r="BG479" s="66">
        <f t="shared" si="454"/>
        <v>-42.373054806483964</v>
      </c>
      <c r="BH479" s="63">
        <f t="shared" si="455"/>
        <v>-84.441287338204702</v>
      </c>
      <c r="BI479" s="60" t="e">
        <f t="shared" si="409"/>
        <v>#NUM!</v>
      </c>
      <c r="BJ479" s="66" t="e">
        <f t="shared" si="456"/>
        <v>#NUM!</v>
      </c>
      <c r="BK479" s="63" t="e">
        <f t="shared" si="410"/>
        <v>#NUM!</v>
      </c>
      <c r="BL479" s="51">
        <f t="shared" si="457"/>
        <v>-42.373054806483964</v>
      </c>
      <c r="BM479" s="63">
        <f t="shared" si="458"/>
        <v>-84.441287338204702</v>
      </c>
    </row>
    <row r="480" spans="14:65" x14ac:dyDescent="0.3">
      <c r="N480" s="11">
        <v>62</v>
      </c>
      <c r="O480" s="52">
        <f t="shared" si="408"/>
        <v>416869.38347033598</v>
      </c>
      <c r="P480" s="50" t="str">
        <f t="shared" si="411"/>
        <v>23.3035714285714</v>
      </c>
      <c r="Q480" s="18" t="str">
        <f t="shared" si="412"/>
        <v>1+993.450776970831i</v>
      </c>
      <c r="R480" s="18">
        <f t="shared" si="423"/>
        <v>993.45128026690259</v>
      </c>
      <c r="S480" s="18">
        <f t="shared" si="424"/>
        <v>1.5697897347367509</v>
      </c>
      <c r="T480" s="18" t="str">
        <f t="shared" si="413"/>
        <v>1+4.63610362586388i</v>
      </c>
      <c r="U480" s="18">
        <f t="shared" si="425"/>
        <v>4.7427267293982069</v>
      </c>
      <c r="V480" s="18">
        <f t="shared" si="426"/>
        <v>1.3583527475218273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-0.228165617923241-0.00918064491928633i</v>
      </c>
      <c r="AD480" s="66">
        <f t="shared" si="432"/>
        <v>-12.827970440896454</v>
      </c>
      <c r="AE480" s="63">
        <f t="shared" si="433"/>
        <v>-177.69584647934118</v>
      </c>
      <c r="AF480" s="51" t="e">
        <f t="shared" si="434"/>
        <v>#NUM!</v>
      </c>
      <c r="AG480" s="51" t="str">
        <f t="shared" si="416"/>
        <v>1-1390.83108775917i</v>
      </c>
      <c r="AH480" s="51">
        <f t="shared" si="435"/>
        <v>1390.8314472564086</v>
      </c>
      <c r="AI480" s="51">
        <f t="shared" si="436"/>
        <v>-1.5700773323487101</v>
      </c>
      <c r="AJ480" s="51" t="str">
        <f t="shared" si="417"/>
        <v>1+4.63610362586388i</v>
      </c>
      <c r="AK480" s="51">
        <f t="shared" si="437"/>
        <v>4.7427267293982069</v>
      </c>
      <c r="AL480" s="51">
        <f t="shared" si="438"/>
        <v>1.3583527475218273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0.000630285184935485-0.00740725965709529i</v>
      </c>
      <c r="BG480" s="66">
        <f t="shared" si="454"/>
        <v>-42.575517506238221</v>
      </c>
      <c r="BH480" s="63">
        <f t="shared" si="455"/>
        <v>-85.136406271517885</v>
      </c>
      <c r="BI480" s="60" t="e">
        <f t="shared" si="409"/>
        <v>#NUM!</v>
      </c>
      <c r="BJ480" s="66" t="e">
        <f t="shared" si="456"/>
        <v>#NUM!</v>
      </c>
      <c r="BK480" s="63" t="e">
        <f t="shared" si="410"/>
        <v>#NUM!</v>
      </c>
      <c r="BL480" s="51">
        <f t="shared" si="457"/>
        <v>-42.575517506238221</v>
      </c>
      <c r="BM480" s="63">
        <f t="shared" si="458"/>
        <v>-85.136406271517885</v>
      </c>
    </row>
    <row r="481" spans="14:65" x14ac:dyDescent="0.3">
      <c r="N481" s="11">
        <v>63</v>
      </c>
      <c r="O481" s="52">
        <f t="shared" si="408"/>
        <v>426579.51880159322</v>
      </c>
      <c r="P481" s="50" t="str">
        <f t="shared" si="411"/>
        <v>23.3035714285714</v>
      </c>
      <c r="Q481" s="18" t="str">
        <f t="shared" si="412"/>
        <v>1+1016.59121825012i</v>
      </c>
      <c r="R481" s="18">
        <f t="shared" si="423"/>
        <v>1016.5917100897799</v>
      </c>
      <c r="S481" s="18">
        <f t="shared" si="424"/>
        <v>1.5698126475544054</v>
      </c>
      <c r="T481" s="18" t="str">
        <f t="shared" si="413"/>
        <v>1+4.7440923518339i</v>
      </c>
      <c r="U481" s="18">
        <f t="shared" si="425"/>
        <v>4.848341184645415</v>
      </c>
      <c r="V481" s="18">
        <f t="shared" si="426"/>
        <v>1.363049078947008</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-0.228157352904728-0.00664612071068034i</v>
      </c>
      <c r="AD481" s="66">
        <f t="shared" si="432"/>
        <v>-12.831627051184931</v>
      </c>
      <c r="AE481" s="63">
        <f t="shared" si="433"/>
        <v>-178.33147162911132</v>
      </c>
      <c r="AF481" s="51" t="e">
        <f t="shared" si="434"/>
        <v>#NUM!</v>
      </c>
      <c r="AG481" s="51" t="str">
        <f t="shared" si="416"/>
        <v>1-1423.22770555017i</v>
      </c>
      <c r="AH481" s="51">
        <f t="shared" si="435"/>
        <v>1423.2280568642545</v>
      </c>
      <c r="AI481" s="51">
        <f t="shared" si="436"/>
        <v>-1.5700936986549734</v>
      </c>
      <c r="AJ481" s="51" t="str">
        <f t="shared" si="417"/>
        <v>1+4.7440923518339i</v>
      </c>
      <c r="AK481" s="51">
        <f t="shared" si="437"/>
        <v>4.848341184645415</v>
      </c>
      <c r="AL481" s="51">
        <f t="shared" si="438"/>
        <v>1.363049078947008</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0.00052804599714101-0.00724288892097382i</v>
      </c>
      <c r="BG481" s="66">
        <f t="shared" si="454"/>
        <v>-42.778741001295131</v>
      </c>
      <c r="BH481" s="63">
        <f t="shared" si="455"/>
        <v>-85.830203365631817</v>
      </c>
      <c r="BI481" s="60" t="e">
        <f t="shared" si="409"/>
        <v>#NUM!</v>
      </c>
      <c r="BJ481" s="66" t="e">
        <f t="shared" si="456"/>
        <v>#NUM!</v>
      </c>
      <c r="BK481" s="63" t="e">
        <f t="shared" si="410"/>
        <v>#NUM!</v>
      </c>
      <c r="BL481" s="51">
        <f t="shared" si="457"/>
        <v>-42.778741001295131</v>
      </c>
      <c r="BM481" s="63">
        <f t="shared" si="458"/>
        <v>-85.830203365631817</v>
      </c>
    </row>
    <row r="482" spans="14:65" x14ac:dyDescent="0.3">
      <c r="N482" s="11">
        <v>64</v>
      </c>
      <c r="O482" s="52">
        <f t="shared" si="408"/>
        <v>436515.83224016649</v>
      </c>
      <c r="P482" s="50" t="str">
        <f t="shared" si="411"/>
        <v>23.3035714285714</v>
      </c>
      <c r="Q482" s="18" t="str">
        <f t="shared" si="412"/>
        <v>1+1040.2706696495i</v>
      </c>
      <c r="R482" s="18">
        <f t="shared" si="423"/>
        <v>1040.2711502935276</v>
      </c>
      <c r="S482" s="18">
        <f t="shared" si="424"/>
        <v>1.5698350388136522</v>
      </c>
      <c r="T482" s="18" t="str">
        <f t="shared" si="413"/>
        <v>1+4.85459645836435i</v>
      </c>
      <c r="U482" s="18">
        <f t="shared" si="425"/>
        <v>4.956521640582606</v>
      </c>
      <c r="V482" s="18">
        <f t="shared" si="426"/>
        <v>1.3676475109315531</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-0.228101191860429-0.00411189309998709i</v>
      </c>
      <c r="AD482" s="66">
        <f t="shared" si="432"/>
        <v>-12.836037859771899</v>
      </c>
      <c r="AE482" s="63">
        <f t="shared" si="433"/>
        <v>-178.96726271345793</v>
      </c>
      <c r="AF482" s="51" t="e">
        <f t="shared" si="434"/>
        <v>#NUM!</v>
      </c>
      <c r="AG482" s="51" t="str">
        <f t="shared" si="416"/>
        <v>1-1456.37893750931i</v>
      </c>
      <c r="AH482" s="51">
        <f t="shared" si="435"/>
        <v>1456.3792808265114</v>
      </c>
      <c r="AI482" s="51">
        <f t="shared" si="436"/>
        <v>-1.5701096924189872</v>
      </c>
      <c r="AJ482" s="51" t="str">
        <f t="shared" si="417"/>
        <v>1+4.85459645836435i</v>
      </c>
      <c r="AK482" s="51">
        <f t="shared" si="437"/>
        <v>4.956521640582606</v>
      </c>
      <c r="AL482" s="51">
        <f t="shared" si="438"/>
        <v>1.3676475109315531</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0.000430226844837733-0.00708048239535143i</v>
      </c>
      <c r="BG482" s="66">
        <f t="shared" si="454"/>
        <v>-42.982738147496995</v>
      </c>
      <c r="BH482" s="63">
        <f t="shared" si="455"/>
        <v>-86.522848105028544</v>
      </c>
      <c r="BI482" s="60" t="e">
        <f t="shared" si="409"/>
        <v>#NUM!</v>
      </c>
      <c r="BJ482" s="66" t="e">
        <f t="shared" si="456"/>
        <v>#NUM!</v>
      </c>
      <c r="BK482" s="63" t="e">
        <f t="shared" si="410"/>
        <v>#NUM!</v>
      </c>
      <c r="BL482" s="51">
        <f t="shared" si="457"/>
        <v>-42.982738147496995</v>
      </c>
      <c r="BM482" s="63">
        <f t="shared" si="458"/>
        <v>-86.522848105028544</v>
      </c>
    </row>
    <row r="483" spans="14:65" x14ac:dyDescent="0.3">
      <c r="N483" s="11">
        <v>65</v>
      </c>
      <c r="O483" s="52">
        <f t="shared" si="408"/>
        <v>446683.59215096442</v>
      </c>
      <c r="P483" s="50" t="str">
        <f t="shared" si="411"/>
        <v>23.3035714285714</v>
      </c>
      <c r="Q483" s="18" t="str">
        <f t="shared" si="412"/>
        <v>1+1064.50168632755i</v>
      </c>
      <c r="R483" s="18">
        <f t="shared" si="423"/>
        <v>1064.5021560307887</v>
      </c>
      <c r="S483" s="18">
        <f t="shared" si="424"/>
        <v>1.5698569203865438</v>
      </c>
      <c r="T483" s="18" t="str">
        <f t="shared" si="413"/>
        <v>1+4.96767453619522i</v>
      </c>
      <c r="U483" s="18">
        <f t="shared" si="425"/>
        <v>5.0673257540405272</v>
      </c>
      <c r="V483" s="18">
        <f t="shared" si="426"/>
        <v>1.37214970336841</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-0.227996791264474-0.00157836621678987i</v>
      </c>
      <c r="AD483" s="66">
        <f t="shared" si="432"/>
        <v>-12.841217172154689</v>
      </c>
      <c r="AE483" s="63">
        <f t="shared" si="433"/>
        <v>-179.60336161915788</v>
      </c>
      <c r="AF483" s="51" t="e">
        <f t="shared" si="434"/>
        <v>#NUM!</v>
      </c>
      <c r="AG483" s="51" t="str">
        <f t="shared" si="416"/>
        <v>1-1490.30236085857i</v>
      </c>
      <c r="AH483" s="51">
        <f t="shared" si="435"/>
        <v>1490.3026963609195</v>
      </c>
      <c r="AI483" s="51">
        <f t="shared" si="436"/>
        <v>-1.570125322120824</v>
      </c>
      <c r="AJ483" s="51" t="str">
        <f t="shared" si="417"/>
        <v>1+4.96767453619522i</v>
      </c>
      <c r="AK483" s="51">
        <f t="shared" si="437"/>
        <v>5.0673257540405272</v>
      </c>
      <c r="AL483" s="51">
        <f t="shared" si="438"/>
        <v>1.37214970336841</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0.000336690956536813-0.00692006938919338i</v>
      </c>
      <c r="BG483" s="66">
        <f t="shared" si="454"/>
        <v>-43.187522378379725</v>
      </c>
      <c r="BH483" s="63">
        <f t="shared" si="455"/>
        <v>-87.214511993941144</v>
      </c>
      <c r="BI483" s="60" t="e">
        <f t="shared" si="409"/>
        <v>#NUM!</v>
      </c>
      <c r="BJ483" s="66" t="e">
        <f t="shared" si="456"/>
        <v>#NUM!</v>
      </c>
      <c r="BK483" s="63" t="e">
        <f t="shared" si="410"/>
        <v>#NUM!</v>
      </c>
      <c r="BL483" s="51">
        <f t="shared" si="457"/>
        <v>-43.187522378379725</v>
      </c>
      <c r="BM483" s="63">
        <f t="shared" si="458"/>
        <v>-87.214511993941144</v>
      </c>
    </row>
    <row r="484" spans="14:65" x14ac:dyDescent="0.3">
      <c r="N484" s="11">
        <v>66</v>
      </c>
      <c r="O484" s="52">
        <f t="shared" ref="O484:O518" si="459">10^(5+(N484/100))</f>
        <v>457088.18961487547</v>
      </c>
      <c r="P484" s="50" t="str">
        <f t="shared" si="411"/>
        <v>23.3035714285714</v>
      </c>
      <c r="Q484" s="18" t="str">
        <f t="shared" si="412"/>
        <v>1+1089.29711589002i</v>
      </c>
      <c r="R484" s="18">
        <f t="shared" si="423"/>
        <v>1089.2975749015122</v>
      </c>
      <c r="S484" s="18">
        <f t="shared" si="424"/>
        <v>1.5698783038748956</v>
      </c>
      <c r="T484" s="18" t="str">
        <f t="shared" si="413"/>
        <v>1+5.0833865408201i</v>
      </c>
      <c r="U484" s="18">
        <f t="shared" si="425"/>
        <v>5.1808125543577557</v>
      </c>
      <c r="V484" s="18">
        <f t="shared" si="426"/>
        <v>1.376557312968185</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-0.227843791292359+0.000954047326142318i</v>
      </c>
      <c r="AD484" s="66">
        <f t="shared" si="432"/>
        <v>-12.847179881740283</v>
      </c>
      <c r="AE484" s="63">
        <f t="shared" si="433"/>
        <v>179.76008753426149</v>
      </c>
      <c r="AF484" s="51" t="e">
        <f t="shared" si="434"/>
        <v>#NUM!</v>
      </c>
      <c r="AG484" s="51" t="str">
        <f t="shared" si="416"/>
        <v>1-1525.01596224603i</v>
      </c>
      <c r="AH484" s="51">
        <f t="shared" si="435"/>
        <v>1525.0162901114156</v>
      </c>
      <c r="AI484" s="51">
        <f t="shared" si="436"/>
        <v>-1.5701405960475281</v>
      </c>
      <c r="AJ484" s="51" t="str">
        <f t="shared" si="417"/>
        <v>1+5.0833865408201i</v>
      </c>
      <c r="AK484" s="51">
        <f t="shared" si="437"/>
        <v>5.1808125543577557</v>
      </c>
      <c r="AL484" s="51">
        <f t="shared" si="438"/>
        <v>1.376557312968185</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0.000247305027404216-0.00676167557560856i</v>
      </c>
      <c r="BG484" s="66">
        <f t="shared" si="454"/>
        <v>-43.393107754321278</v>
      </c>
      <c r="BH484" s="63">
        <f t="shared" si="455"/>
        <v>-87.905368121126287</v>
      </c>
      <c r="BI484" s="60" t="e">
        <f t="shared" si="409"/>
        <v>#NUM!</v>
      </c>
      <c r="BJ484" s="66" t="e">
        <f t="shared" si="456"/>
        <v>#NUM!</v>
      </c>
      <c r="BK484" s="63" t="e">
        <f t="shared" si="410"/>
        <v>#NUM!</v>
      </c>
      <c r="BL484" s="51">
        <f t="shared" si="457"/>
        <v>-43.393107754321278</v>
      </c>
      <c r="BM484" s="63">
        <f t="shared" si="458"/>
        <v>-87.905368121126287</v>
      </c>
    </row>
    <row r="485" spans="14:65" x14ac:dyDescent="0.3">
      <c r="N485" s="11">
        <v>67</v>
      </c>
      <c r="O485" s="52">
        <f t="shared" si="459"/>
        <v>467735.14128719864</v>
      </c>
      <c r="P485" s="50" t="str">
        <f t="shared" si="411"/>
        <v>23.3035714285714</v>
      </c>
      <c r="Q485" s="18" t="str">
        <f t="shared" si="412"/>
        <v>1+1114.67010520189i</v>
      </c>
      <c r="R485" s="18">
        <f t="shared" si="423"/>
        <v>1114.6705537650093</v>
      </c>
      <c r="S485" s="18">
        <f t="shared" si="424"/>
        <v>1.5698992006164383</v>
      </c>
      <c r="T485" s="18" t="str">
        <f t="shared" si="413"/>
        <v>1+5.20179382427551i</v>
      </c>
      <c r="U485" s="18">
        <f t="shared" si="425"/>
        <v>5.2970424757850338</v>
      </c>
      <c r="V485" s="18">
        <f t="shared" si="426"/>
        <v>1.3808719913630405</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-0.227641815006158+0.00348492315216831i</v>
      </c>
      <c r="AD485" s="66">
        <f t="shared" si="432"/>
        <v>-12.853941517126737</v>
      </c>
      <c r="AE485" s="63">
        <f t="shared" si="433"/>
        <v>179.12293884826497</v>
      </c>
      <c r="AF485" s="51" t="e">
        <f t="shared" si="434"/>
        <v>#NUM!</v>
      </c>
      <c r="AG485" s="51" t="str">
        <f t="shared" si="416"/>
        <v>1-1560.53814728265i</v>
      </c>
      <c r="AH485" s="51">
        <f t="shared" si="435"/>
        <v>1560.5384676849096</v>
      </c>
      <c r="AI485" s="51">
        <f t="shared" si="436"/>
        <v>-1.5701555222975092</v>
      </c>
      <c r="AJ485" s="51" t="str">
        <f t="shared" si="417"/>
        <v>1+5.20179382427551i</v>
      </c>
      <c r="AK485" s="51">
        <f t="shared" si="437"/>
        <v>5.2970424757850338</v>
      </c>
      <c r="AL485" s="51">
        <f t="shared" si="438"/>
        <v>1.3808719913630405</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0.000161939248116665-0.00660532317267078i</v>
      </c>
      <c r="BG485" s="66">
        <f t="shared" si="454"/>
        <v>-43.599509008098053</v>
      </c>
      <c r="BH485" s="63">
        <f t="shared" si="455"/>
        <v>-88.595590719157315</v>
      </c>
      <c r="BI485" s="60" t="e">
        <f t="shared" si="409"/>
        <v>#NUM!</v>
      </c>
      <c r="BJ485" s="66" t="e">
        <f t="shared" si="456"/>
        <v>#NUM!</v>
      </c>
      <c r="BK485" s="63" t="e">
        <f t="shared" si="410"/>
        <v>#NUM!</v>
      </c>
      <c r="BL485" s="51">
        <f t="shared" si="457"/>
        <v>-43.599509008098053</v>
      </c>
      <c r="BM485" s="63">
        <f t="shared" si="458"/>
        <v>-88.595590719157315</v>
      </c>
    </row>
    <row r="486" spans="14:65" x14ac:dyDescent="0.3">
      <c r="N486" s="11">
        <v>68</v>
      </c>
      <c r="O486" s="52">
        <f t="shared" si="459"/>
        <v>478630.09232263872</v>
      </c>
      <c r="P486" s="50" t="str">
        <f t="shared" si="411"/>
        <v>23.3035714285714</v>
      </c>
      <c r="Q486" s="18" t="str">
        <f t="shared" si="412"/>
        <v>1+1140.63410735795i</v>
      </c>
      <c r="R486" s="18">
        <f t="shared" si="423"/>
        <v>1140.6345457105299</v>
      </c>
      <c r="S486" s="18">
        <f t="shared" si="424"/>
        <v>1.5699196216908275</v>
      </c>
      <c r="T486" s="18" t="str">
        <f t="shared" si="413"/>
        <v>1+5.32295916767043i</v>
      </c>
      <c r="U486" s="18">
        <f t="shared" si="425"/>
        <v>5.4160773905739834</v>
      </c>
      <c r="V486" s="18">
        <f t="shared" si="426"/>
        <v>1.3850953833513211</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-0.227390467837997+0.00601382174184318i</v>
      </c>
      <c r="AD486" s="66">
        <f t="shared" si="432"/>
        <v>-12.861518285737894</v>
      </c>
      <c r="AE486" s="63">
        <f t="shared" si="433"/>
        <v>178.48504510397404</v>
      </c>
      <c r="AF486" s="51" t="e">
        <f t="shared" si="434"/>
        <v>#NUM!</v>
      </c>
      <c r="AG486" s="51" t="str">
        <f t="shared" si="416"/>
        <v>1-1596.88775030113i</v>
      </c>
      <c r="AH486" s="51">
        <f t="shared" si="435"/>
        <v>1596.8880634101454</v>
      </c>
      <c r="AI486" s="51">
        <f t="shared" si="436"/>
        <v>-1.5701701087848361</v>
      </c>
      <c r="AJ486" s="51" t="str">
        <f t="shared" si="417"/>
        <v>1+5.32295916767043i</v>
      </c>
      <c r="AK486" s="51">
        <f t="shared" si="437"/>
        <v>5.4160773905739834</v>
      </c>
      <c r="AL486" s="51">
        <f t="shared" si="438"/>
        <v>1.3850953833513211</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0.0000804673238405641-0.00645103112683018i</v>
      </c>
      <c r="BG486" s="66">
        <f t="shared" si="454"/>
        <v>-43.806741586869904</v>
      </c>
      <c r="BH486" s="63">
        <f t="shared" si="455"/>
        <v>-89.285354718612439</v>
      </c>
      <c r="BI486" s="60" t="e">
        <f t="shared" si="409"/>
        <v>#NUM!</v>
      </c>
      <c r="BJ486" s="66" t="e">
        <f t="shared" si="456"/>
        <v>#NUM!</v>
      </c>
      <c r="BK486" s="63" t="e">
        <f t="shared" si="410"/>
        <v>#NUM!</v>
      </c>
      <c r="BL486" s="51">
        <f t="shared" si="457"/>
        <v>-43.806741586869904</v>
      </c>
      <c r="BM486" s="63">
        <f t="shared" si="458"/>
        <v>-89.285354718612439</v>
      </c>
    </row>
    <row r="487" spans="14:65" x14ac:dyDescent="0.3">
      <c r="N487" s="11">
        <v>69</v>
      </c>
      <c r="O487" s="52">
        <f t="shared" si="459"/>
        <v>489778.81936844654</v>
      </c>
      <c r="P487" s="50" t="str">
        <f t="shared" si="411"/>
        <v>23.3035714285714</v>
      </c>
      <c r="Q487" s="18" t="str">
        <f t="shared" si="412"/>
        <v>1+1167.2028888158i</v>
      </c>
      <c r="R487" s="18">
        <f t="shared" si="423"/>
        <v>1167.2033171902608</v>
      </c>
      <c r="S487" s="18">
        <f t="shared" si="424"/>
        <v>1.5699395779255192</v>
      </c>
      <c r="T487" s="18" t="str">
        <f t="shared" si="413"/>
        <v>1+5.44694681447376i</v>
      </c>
      <c r="U487" s="18">
        <f t="shared" si="425"/>
        <v>5.5379806427709592</v>
      </c>
      <c r="V487" s="18">
        <f t="shared" si="426"/>
        <v>1.3892291252764346</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-0.227089337378688+0.0085402849747846i</v>
      </c>
      <c r="AD487" s="66">
        <f t="shared" si="432"/>
        <v>-12.869927113831352</v>
      </c>
      <c r="AE487" s="63">
        <f t="shared" si="433"/>
        <v>177.84625822543302</v>
      </c>
      <c r="AF487" s="51" t="e">
        <f t="shared" si="434"/>
        <v>#NUM!</v>
      </c>
      <c r="AG487" s="51" t="str">
        <f t="shared" si="416"/>
        <v>1-1634.08404434213i</v>
      </c>
      <c r="AH487" s="51">
        <f t="shared" si="435"/>
        <v>1634.0843503239155</v>
      </c>
      <c r="AI487" s="51">
        <f t="shared" si="436"/>
        <v>-1.5701843632434322</v>
      </c>
      <c r="AJ487" s="51" t="str">
        <f t="shared" si="417"/>
        <v>1+5.44694681447376i</v>
      </c>
      <c r="AK487" s="51">
        <f t="shared" si="437"/>
        <v>5.5379806427709592</v>
      </c>
      <c r="AL487" s="51">
        <f t="shared" si="438"/>
        <v>1.3892291252764346</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2.76648340894573E-06-0.00629881529783267i</v>
      </c>
      <c r="BG487" s="66">
        <f t="shared" si="454"/>
        <v>-44.014821690611001</v>
      </c>
      <c r="BH487" s="63">
        <f t="shared" si="455"/>
        <v>-89.974835297474456</v>
      </c>
      <c r="BI487" s="60" t="e">
        <f t="shared" si="409"/>
        <v>#NUM!</v>
      </c>
      <c r="BJ487" s="66" t="e">
        <f t="shared" si="456"/>
        <v>#NUM!</v>
      </c>
      <c r="BK487" s="63" t="e">
        <f t="shared" si="410"/>
        <v>#NUM!</v>
      </c>
      <c r="BL487" s="51">
        <f t="shared" si="457"/>
        <v>-44.014821690611001</v>
      </c>
      <c r="BM487" s="63">
        <f t="shared" si="458"/>
        <v>-89.974835297474456</v>
      </c>
    </row>
    <row r="488" spans="14:65" x14ac:dyDescent="0.3">
      <c r="N488" s="11">
        <v>70</v>
      </c>
      <c r="O488" s="52">
        <f t="shared" si="459"/>
        <v>501187.23362727347</v>
      </c>
      <c r="P488" s="50" t="str">
        <f t="shared" si="411"/>
        <v>23.3035714285714</v>
      </c>
      <c r="Q488" s="18" t="str">
        <f t="shared" si="412"/>
        <v>1+1194.39053669507i</v>
      </c>
      <c r="R488" s="18">
        <f t="shared" si="423"/>
        <v>1194.3909553185413</v>
      </c>
      <c r="S488" s="18">
        <f t="shared" si="424"/>
        <v>1.5699590799015093</v>
      </c>
      <c r="T488" s="18" t="str">
        <f t="shared" si="413"/>
        <v>1+5.57382250457698i</v>
      </c>
      <c r="U488" s="18">
        <f t="shared" si="425"/>
        <v>5.662817082736189</v>
      </c>
      <c r="V488" s="18">
        <f t="shared" si="426"/>
        <v>1.3932748435335605</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-0.226737993477905+0.0110638326116416i</v>
      </c>
      <c r="AD488" s="66">
        <f t="shared" si="432"/>
        <v>-12.879185682891572</v>
      </c>
      <c r="AE488" s="63">
        <f t="shared" si="433"/>
        <v>177.20642974721255</v>
      </c>
      <c r="AF488" s="51" t="e">
        <f t="shared" si="434"/>
        <v>#NUM!</v>
      </c>
      <c r="AG488" s="51" t="str">
        <f t="shared" si="416"/>
        <v>1-1672.1467513731i</v>
      </c>
      <c r="AH488" s="51">
        <f t="shared" si="435"/>
        <v>1672.1470503898906</v>
      </c>
      <c r="AI488" s="51">
        <f t="shared" si="436"/>
        <v>-1.5701982932311773</v>
      </c>
      <c r="AJ488" s="51" t="str">
        <f t="shared" si="417"/>
        <v>1+5.57382250457698i</v>
      </c>
      <c r="AK488" s="51">
        <f t="shared" si="437"/>
        <v>5.662817082736189</v>
      </c>
      <c r="AL488" s="51">
        <f t="shared" si="438"/>
        <v>1.3932748435335605</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-0.0000712825211552705-0.00614868864414402i</v>
      </c>
      <c r="BG488" s="66">
        <f t="shared" si="454"/>
        <v>-44.223766306993852</v>
      </c>
      <c r="BH488" s="63">
        <f t="shared" si="455"/>
        <v>-90.664207426003856</v>
      </c>
      <c r="BI488" s="60" t="e">
        <f t="shared" si="409"/>
        <v>#NUM!</v>
      </c>
      <c r="BJ488" s="66" t="e">
        <f t="shared" si="456"/>
        <v>#NUM!</v>
      </c>
      <c r="BK488" s="63" t="e">
        <f t="shared" si="410"/>
        <v>#NUM!</v>
      </c>
      <c r="BL488" s="51">
        <f t="shared" si="457"/>
        <v>-44.223766306993852</v>
      </c>
      <c r="BM488" s="63">
        <f t="shared" si="458"/>
        <v>-90.664207426003856</v>
      </c>
    </row>
    <row r="489" spans="14:65" x14ac:dyDescent="0.3">
      <c r="N489" s="11">
        <v>71</v>
      </c>
      <c r="O489" s="52">
        <f t="shared" si="459"/>
        <v>512861.38399136515</v>
      </c>
      <c r="P489" s="50" t="str">
        <f t="shared" si="411"/>
        <v>23.3035714285714</v>
      </c>
      <c r="Q489" s="18" t="str">
        <f t="shared" si="412"/>
        <v>1+1222.21146624651i</v>
      </c>
      <c r="R489" s="18">
        <f t="shared" si="423"/>
        <v>1222.2118753409509</v>
      </c>
      <c r="S489" s="18">
        <f t="shared" si="424"/>
        <v>1.5699781379589444</v>
      </c>
      <c r="T489" s="18" t="str">
        <f t="shared" si="413"/>
        <v>1+5.70365350915037i</v>
      </c>
      <c r="U489" s="18">
        <f t="shared" si="425"/>
        <v>5.790653102409375</v>
      </c>
      <c r="V489" s="18">
        <f t="shared" si="426"/>
        <v>1.397234153197884</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-0.226335988661846+0.013583958735844i</v>
      </c>
      <c r="AD489" s="66">
        <f t="shared" si="432"/>
        <v>-12.889312462408313</v>
      </c>
      <c r="AE489" s="63">
        <f t="shared" si="433"/>
        <v>176.56541128612716</v>
      </c>
      <c r="AF489" s="51" t="e">
        <f t="shared" si="434"/>
        <v>#NUM!</v>
      </c>
      <c r="AG489" s="51" t="str">
        <f t="shared" si="416"/>
        <v>1-1711.09605274511i</v>
      </c>
      <c r="AH489" s="51">
        <f t="shared" si="435"/>
        <v>1711.0963449554486</v>
      </c>
      <c r="AI489" s="51">
        <f t="shared" si="436"/>
        <v>-1.5702119061339135</v>
      </c>
      <c r="AJ489" s="51" t="str">
        <f t="shared" si="417"/>
        <v>1+5.70365350915037i</v>
      </c>
      <c r="AK489" s="51">
        <f t="shared" si="437"/>
        <v>5.790653102409375</v>
      </c>
      <c r="AL489" s="51">
        <f t="shared" si="438"/>
        <v>1.397234153197884</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-0.000141795424560082-0.00600066140795113i</v>
      </c>
      <c r="BG489" s="66">
        <f t="shared" si="454"/>
        <v>-44.433593242725458</v>
      </c>
      <c r="BH489" s="63">
        <f t="shared" si="455"/>
        <v>-91.353645407306658</v>
      </c>
      <c r="BI489" s="60" t="e">
        <f t="shared" si="409"/>
        <v>#NUM!</v>
      </c>
      <c r="BJ489" s="66" t="e">
        <f t="shared" si="456"/>
        <v>#NUM!</v>
      </c>
      <c r="BK489" s="63" t="e">
        <f t="shared" si="410"/>
        <v>#NUM!</v>
      </c>
      <c r="BL489" s="51">
        <f t="shared" si="457"/>
        <v>-44.433593242725458</v>
      </c>
      <c r="BM489" s="63">
        <f t="shared" si="458"/>
        <v>-91.353645407306658</v>
      </c>
    </row>
    <row r="490" spans="14:65" x14ac:dyDescent="0.3">
      <c r="N490" s="11">
        <v>72</v>
      </c>
      <c r="O490" s="52">
        <f t="shared" si="459"/>
        <v>524807.46024977288</v>
      </c>
      <c r="P490" s="50" t="str">
        <f t="shared" si="411"/>
        <v>23.3035714285714</v>
      </c>
      <c r="Q490" s="18" t="str">
        <f t="shared" si="412"/>
        <v>1+1250.68042849524i</v>
      </c>
      <c r="R490" s="18">
        <f t="shared" si="423"/>
        <v>1250.6808282775573</v>
      </c>
      <c r="S490" s="18">
        <f t="shared" si="424"/>
        <v>1.5699967622026034</v>
      </c>
      <c r="T490" s="18" t="str">
        <f t="shared" si="413"/>
        <v>1+5.83650866631111i</v>
      </c>
      <c r="U490" s="18">
        <f t="shared" si="425"/>
        <v>5.921556671342822</v>
      </c>
      <c r="V490" s="18">
        <f t="shared" si="426"/>
        <v>1.4011086567681708</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-0.2258828588737+0.0161001281752946i</v>
      </c>
      <c r="AD490" s="66">
        <f t="shared" si="432"/>
        <v>-12.900326739034899</v>
      </c>
      <c r="AE490" s="63">
        <f t="shared" si="433"/>
        <v>175.92305501686494</v>
      </c>
      <c r="AF490" s="51" t="e">
        <f t="shared" si="434"/>
        <v>#NUM!</v>
      </c>
      <c r="AG490" s="51" t="str">
        <f t="shared" si="416"/>
        <v>1-1750.95259989334i</v>
      </c>
      <c r="AH490" s="51">
        <f t="shared" si="435"/>
        <v>1750.9528854521607</v>
      </c>
      <c r="AI490" s="51">
        <f t="shared" si="436"/>
        <v>-1.570225209169362</v>
      </c>
      <c r="AJ490" s="51" t="str">
        <f t="shared" si="417"/>
        <v>1+5.83650866631111i</v>
      </c>
      <c r="AK490" s="51">
        <f t="shared" si="437"/>
        <v>5.921556671342822</v>
      </c>
      <c r="AL490" s="51">
        <f t="shared" si="438"/>
        <v>1.4011086567681708</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-0.000208884467349313-0.00585474129888565i</v>
      </c>
      <c r="BG490" s="66">
        <f t="shared" si="454"/>
        <v>-44.644321151326253</v>
      </c>
      <c r="BH490" s="63">
        <f t="shared" si="455"/>
        <v>-92.043322413796929</v>
      </c>
      <c r="BI490" s="60" t="e">
        <f t="shared" si="409"/>
        <v>#NUM!</v>
      </c>
      <c r="BJ490" s="66" t="e">
        <f t="shared" si="456"/>
        <v>#NUM!</v>
      </c>
      <c r="BK490" s="63" t="e">
        <f t="shared" si="410"/>
        <v>#NUM!</v>
      </c>
      <c r="BL490" s="51">
        <f t="shared" si="457"/>
        <v>-44.644321151326253</v>
      </c>
      <c r="BM490" s="63">
        <f t="shared" si="458"/>
        <v>-92.043322413796929</v>
      </c>
    </row>
    <row r="491" spans="14:65" x14ac:dyDescent="0.3">
      <c r="N491" s="11">
        <v>73</v>
      </c>
      <c r="O491" s="52">
        <f t="shared" si="459"/>
        <v>537031.7963702539</v>
      </c>
      <c r="P491" s="50" t="str">
        <f t="shared" si="411"/>
        <v>23.3035714285714</v>
      </c>
      <c r="Q491" s="18" t="str">
        <f t="shared" si="412"/>
        <v>1+1279.81251806187i</v>
      </c>
      <c r="R491" s="18">
        <f t="shared" si="423"/>
        <v>1279.8129087440336</v>
      </c>
      <c r="S491" s="18">
        <f t="shared" si="424"/>
        <v>1.5700149625072553</v>
      </c>
      <c r="T491" s="18" t="str">
        <f t="shared" si="413"/>
        <v>1+5.97245841762206i</v>
      </c>
      <c r="U491" s="18">
        <f t="shared" si="425"/>
        <v>6.0555973735234909</v>
      </c>
      <c r="V491" s="18">
        <f t="shared" si="426"/>
        <v>1.4048999430196378</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-0.225378124541813+0.0186117729247239i</v>
      </c>
      <c r="AD491" s="66">
        <f t="shared" si="432"/>
        <v>-12.912248642105538</v>
      </c>
      <c r="AE491" s="63">
        <f t="shared" si="433"/>
        <v>175.27921415134662</v>
      </c>
      <c r="AF491" s="51" t="e">
        <f t="shared" si="434"/>
        <v>#NUM!</v>
      </c>
      <c r="AG491" s="51" t="str">
        <f t="shared" si="416"/>
        <v>1-1791.73752528662i</v>
      </c>
      <c r="AH491" s="51">
        <f t="shared" si="435"/>
        <v>1791.7378043453291</v>
      </c>
      <c r="AI491" s="51">
        <f t="shared" si="436"/>
        <v>-1.570238209390949</v>
      </c>
      <c r="AJ491" s="51" t="str">
        <f t="shared" si="417"/>
        <v>1+5.97245841762206i</v>
      </c>
      <c r="AK491" s="51">
        <f t="shared" si="437"/>
        <v>6.0555973735234909</v>
      </c>
      <c r="AL491" s="51">
        <f t="shared" si="438"/>
        <v>1.4048999430196378</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-0.000272658423889522-0.00571093367568814i</v>
      </c>
      <c r="BG491" s="66">
        <f t="shared" si="454"/>
        <v>-44.855969557329331</v>
      </c>
      <c r="BH491" s="63">
        <f t="shared" si="455"/>
        <v>-92.733410019735302</v>
      </c>
      <c r="BI491" s="60" t="e">
        <f t="shared" si="409"/>
        <v>#NUM!</v>
      </c>
      <c r="BJ491" s="66" t="e">
        <f t="shared" si="456"/>
        <v>#NUM!</v>
      </c>
      <c r="BK491" s="63" t="e">
        <f t="shared" si="410"/>
        <v>#NUM!</v>
      </c>
      <c r="BL491" s="51">
        <f t="shared" si="457"/>
        <v>-44.855969557329331</v>
      </c>
      <c r="BM491" s="63">
        <f t="shared" si="458"/>
        <v>-92.733410019735302</v>
      </c>
    </row>
    <row r="492" spans="14:65" x14ac:dyDescent="0.3">
      <c r="N492" s="11">
        <v>74</v>
      </c>
      <c r="O492" s="52">
        <f t="shared" si="459"/>
        <v>549540.87385762564</v>
      </c>
      <c r="P492" s="50" t="str">
        <f t="shared" si="411"/>
        <v>23.3035714285714</v>
      </c>
      <c r="Q492" s="18" t="str">
        <f t="shared" si="412"/>
        <v>1+1309.62318116589i</v>
      </c>
      <c r="R492" s="18">
        <f t="shared" si="423"/>
        <v>1309.6235629550445</v>
      </c>
      <c r="S492" s="18">
        <f t="shared" si="424"/>
        <v>1.5700327485228938</v>
      </c>
      <c r="T492" s="18" t="str">
        <f t="shared" si="413"/>
        <v>1+6.11157484544085i</v>
      </c>
      <c r="U492" s="18">
        <f t="shared" si="425"/>
        <v>6.1928464450061531</v>
      </c>
      <c r="V492" s="18">
        <f t="shared" si="426"/>
        <v>1.408609585960253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-0.224821291979756+0.0211182885901436i</v>
      </c>
      <c r="AD492" s="66">
        <f t="shared" si="432"/>
        <v>-12.92509916548309</v>
      </c>
      <c r="AE492" s="63">
        <f t="shared" si="433"/>
        <v>174.6337434216185</v>
      </c>
      <c r="AF492" s="51" t="e">
        <f t="shared" si="434"/>
        <v>#NUM!</v>
      </c>
      <c r="AG492" s="51" t="str">
        <f t="shared" si="416"/>
        <v>1-1833.47245363226i</v>
      </c>
      <c r="AH492" s="51">
        <f t="shared" si="435"/>
        <v>1833.4727263388183</v>
      </c>
      <c r="AI492" s="51">
        <f t="shared" si="436"/>
        <v>-1.570250913691547</v>
      </c>
      <c r="AJ492" s="51" t="str">
        <f t="shared" si="417"/>
        <v>1+6.11157484544085i</v>
      </c>
      <c r="AK492" s="51">
        <f t="shared" si="437"/>
        <v>6.1928464450061531</v>
      </c>
      <c r="AL492" s="51">
        <f t="shared" si="438"/>
        <v>1.408609585960253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-0.000333222638904962-0.00556924172509818i</v>
      </c>
      <c r="BG492" s="66">
        <f t="shared" si="454"/>
        <v>-45.068558876866334</v>
      </c>
      <c r="BH492" s="63">
        <f t="shared" si="455"/>
        <v>-93.424077730038547</v>
      </c>
      <c r="BI492" s="60" t="e">
        <f t="shared" si="409"/>
        <v>#NUM!</v>
      </c>
      <c r="BJ492" s="66" t="e">
        <f t="shared" si="456"/>
        <v>#NUM!</v>
      </c>
      <c r="BK492" s="63" t="e">
        <f t="shared" si="410"/>
        <v>#NUM!</v>
      </c>
      <c r="BL492" s="51">
        <f t="shared" si="457"/>
        <v>-45.068558876866334</v>
      </c>
      <c r="BM492" s="63">
        <f t="shared" si="458"/>
        <v>-93.424077730038547</v>
      </c>
    </row>
    <row r="493" spans="14:65" x14ac:dyDescent="0.3">
      <c r="N493" s="11">
        <v>75</v>
      </c>
      <c r="O493" s="52">
        <f t="shared" si="459"/>
        <v>562341.32519035018</v>
      </c>
      <c r="P493" s="50" t="str">
        <f t="shared" si="411"/>
        <v>23.3035714285714</v>
      </c>
      <c r="Q493" s="18" t="str">
        <f t="shared" si="412"/>
        <v>1+1340.12822381549i</v>
      </c>
      <c r="R493" s="18">
        <f t="shared" si="423"/>
        <v>1340.1285969140647</v>
      </c>
      <c r="S493" s="18">
        <f t="shared" si="424"/>
        <v>1.5700501296798552</v>
      </c>
      <c r="T493" s="18" t="str">
        <f t="shared" si="413"/>
        <v>1+6.25393171113896i</v>
      </c>
      <c r="U493" s="18">
        <f t="shared" si="425"/>
        <v>6.3333768123797505</v>
      </c>
      <c r="V493" s="18">
        <f t="shared" si="426"/>
        <v>1.4122391438847564</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-0.224211855121906+0.0236190308775868i</v>
      </c>
      <c r="AD493" s="66">
        <f t="shared" si="432"/>
        <v>-12.938900185693871</v>
      </c>
      <c r="AE493" s="63">
        <f t="shared" si="433"/>
        <v>173.98649956607662</v>
      </c>
      <c r="AF493" s="51" t="e">
        <f t="shared" si="434"/>
        <v>#NUM!</v>
      </c>
      <c r="AG493" s="51" t="str">
        <f t="shared" si="416"/>
        <v>1-1876.17951334169i</v>
      </c>
      <c r="AH493" s="51">
        <f t="shared" si="435"/>
        <v>1876.1797798406901</v>
      </c>
      <c r="AI493" s="51">
        <f t="shared" si="436"/>
        <v>-1.5702633288071277</v>
      </c>
      <c r="AJ493" s="51" t="str">
        <f t="shared" si="417"/>
        <v>1+6.25393171113896i</v>
      </c>
      <c r="AK493" s="51">
        <f t="shared" si="437"/>
        <v>6.3333768123797505</v>
      </c>
      <c r="AL493" s="51">
        <f t="shared" si="438"/>
        <v>1.4122391438847564</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-0.000390679072199535-0.00542966663731718i</v>
      </c>
      <c r="BG493" s="66">
        <f t="shared" si="454"/>
        <v>-45.282110434598231</v>
      </c>
      <c r="BH493" s="63">
        <f t="shared" si="455"/>
        <v>-94.115492505561733</v>
      </c>
      <c r="BI493" s="60" t="e">
        <f t="shared" si="409"/>
        <v>#NUM!</v>
      </c>
      <c r="BJ493" s="66" t="e">
        <f t="shared" si="456"/>
        <v>#NUM!</v>
      </c>
      <c r="BK493" s="63" t="e">
        <f t="shared" si="410"/>
        <v>#NUM!</v>
      </c>
      <c r="BL493" s="51">
        <f t="shared" si="457"/>
        <v>-45.282110434598231</v>
      </c>
      <c r="BM493" s="63">
        <f t="shared" si="458"/>
        <v>-94.115492505561733</v>
      </c>
    </row>
    <row r="494" spans="14:65" x14ac:dyDescent="0.3">
      <c r="N494" s="11">
        <v>76</v>
      </c>
      <c r="O494" s="52">
        <f t="shared" si="459"/>
        <v>575439.93733715697</v>
      </c>
      <c r="P494" s="50" t="str">
        <f t="shared" si="411"/>
        <v>23.3035714285714</v>
      </c>
      <c r="Q494" s="18" t="str">
        <f t="shared" si="412"/>
        <v>1+1371.34382018804i</v>
      </c>
      <c r="R494" s="18">
        <f t="shared" si="423"/>
        <v>1371.3441847938564</v>
      </c>
      <c r="S494" s="18">
        <f t="shared" si="424"/>
        <v>1.5700671151938168</v>
      </c>
      <c r="T494" s="18" t="str">
        <f t="shared" si="413"/>
        <v>1+6.39960449421087i</v>
      </c>
      <c r="U494" s="18">
        <f t="shared" si="425"/>
        <v>6.4772631320893517</v>
      </c>
      <c r="V494" s="18">
        <f t="shared" si="426"/>
        <v>1.4157901585208734</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-0.223549297597294+0.0261133121492109i</v>
      </c>
      <c r="AD494" s="66">
        <f t="shared" si="432"/>
        <v>-12.953674476297239</v>
      </c>
      <c r="AE494" s="63">
        <f t="shared" si="433"/>
        <v>173.33734181878307</v>
      </c>
      <c r="AF494" s="51" t="e">
        <f t="shared" si="434"/>
        <v>#NUM!</v>
      </c>
      <c r="AG494" s="51" t="str">
        <f t="shared" si="416"/>
        <v>1-1919.88134826327i</v>
      </c>
      <c r="AH494" s="51">
        <f t="shared" si="435"/>
        <v>1919.8816086960132</v>
      </c>
      <c r="AI494" s="51">
        <f t="shared" si="436"/>
        <v>-1.5702754613203345</v>
      </c>
      <c r="AJ494" s="51" t="str">
        <f t="shared" si="417"/>
        <v>1+6.39960449421087i</v>
      </c>
      <c r="AK494" s="51">
        <f t="shared" si="437"/>
        <v>6.4772631320893517</v>
      </c>
      <c r="AL494" s="51">
        <f t="shared" si="438"/>
        <v>1.4157901585208734</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-0.000445126351185626-0.00529220777745335i</v>
      </c>
      <c r="BG494" s="66">
        <f t="shared" si="454"/>
        <v>-45.496646476932206</v>
      </c>
      <c r="BH494" s="63">
        <f t="shared" si="455"/>
        <v>-94.807818285092651</v>
      </c>
      <c r="BI494" s="60" t="e">
        <f t="shared" si="409"/>
        <v>#NUM!</v>
      </c>
      <c r="BJ494" s="66" t="e">
        <f t="shared" si="456"/>
        <v>#NUM!</v>
      </c>
      <c r="BK494" s="63" t="e">
        <f t="shared" si="410"/>
        <v>#NUM!</v>
      </c>
      <c r="BL494" s="51">
        <f t="shared" si="457"/>
        <v>-45.496646476932206</v>
      </c>
      <c r="BM494" s="63">
        <f t="shared" si="458"/>
        <v>-94.807818285092651</v>
      </c>
    </row>
    <row r="495" spans="14:65" x14ac:dyDescent="0.3">
      <c r="N495" s="11">
        <v>77</v>
      </c>
      <c r="O495" s="52">
        <f t="shared" si="459"/>
        <v>588843.65535558888</v>
      </c>
      <c r="P495" s="50" t="str">
        <f t="shared" si="411"/>
        <v>23.3035714285714</v>
      </c>
      <c r="Q495" s="18" t="str">
        <f t="shared" si="412"/>
        <v>1+1403.28652120594i</v>
      </c>
      <c r="R495" s="18">
        <f t="shared" si="423"/>
        <v>1403.2868775123172</v>
      </c>
      <c r="S495" s="18">
        <f t="shared" si="424"/>
        <v>1.5700837140706838</v>
      </c>
      <c r="T495" s="18" t="str">
        <f t="shared" si="413"/>
        <v>1+6.54867043229441i</v>
      </c>
      <c r="U495" s="18">
        <f t="shared" si="425"/>
        <v>6.6245818306370898</v>
      </c>
      <c r="V495" s="18">
        <f t="shared" si="426"/>
        <v>1.419264154262402</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-0.222833095143575+0.0286003980707995i</v>
      </c>
      <c r="AD495" s="66">
        <f t="shared" si="432"/>
        <v>-12.9694457184256</v>
      </c>
      <c r="AE495" s="63">
        <f t="shared" si="433"/>
        <v>172.68613240158828</v>
      </c>
      <c r="AF495" s="51" t="e">
        <f t="shared" si="434"/>
        <v>#NUM!</v>
      </c>
      <c r="AG495" s="51" t="str">
        <f t="shared" si="416"/>
        <v>1-1964.60112968833i</v>
      </c>
      <c r="AH495" s="51">
        <f t="shared" si="435"/>
        <v>1964.6013841929012</v>
      </c>
      <c r="AI495" s="51">
        <f t="shared" si="436"/>
        <v>-1.5702873176639718</v>
      </c>
      <c r="AJ495" s="51" t="str">
        <f t="shared" si="417"/>
        <v>1+6.54867043229441i</v>
      </c>
      <c r="AK495" s="51">
        <f t="shared" si="437"/>
        <v>6.6245818306370898</v>
      </c>
      <c r="AL495" s="51">
        <f t="shared" si="438"/>
        <v>1.419264154262402</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-0.000496659830824893-0.00515686285240924i</v>
      </c>
      <c r="BG495" s="66">
        <f t="shared" si="454"/>
        <v>-45.712190181460258</v>
      </c>
      <c r="BH495" s="63">
        <f t="shared" si="455"/>
        <v>-95.501215504344032</v>
      </c>
      <c r="BI495" s="60" t="e">
        <f t="shared" si="409"/>
        <v>#NUM!</v>
      </c>
      <c r="BJ495" s="66" t="e">
        <f t="shared" si="456"/>
        <v>#NUM!</v>
      </c>
      <c r="BK495" s="63" t="e">
        <f t="shared" si="410"/>
        <v>#NUM!</v>
      </c>
      <c r="BL495" s="51">
        <f t="shared" si="457"/>
        <v>-45.712190181460258</v>
      </c>
      <c r="BM495" s="63">
        <f t="shared" si="458"/>
        <v>-95.501215504344032</v>
      </c>
    </row>
    <row r="496" spans="14:65" x14ac:dyDescent="0.3">
      <c r="N496" s="11">
        <v>78</v>
      </c>
      <c r="O496" s="52">
        <f t="shared" si="459"/>
        <v>602559.58607435878</v>
      </c>
      <c r="P496" s="50" t="str">
        <f t="shared" si="411"/>
        <v>23.3035714285714</v>
      </c>
      <c r="Q496" s="18" t="str">
        <f t="shared" si="412"/>
        <v>1+1435.97326331208i</v>
      </c>
      <c r="R496" s="18">
        <f t="shared" si="423"/>
        <v>1435.9736115079359</v>
      </c>
      <c r="S496" s="18">
        <f t="shared" si="424"/>
        <v>1.5700999351113636</v>
      </c>
      <c r="T496" s="18" t="str">
        <f t="shared" si="413"/>
        <v>1+6.70120856212304i</v>
      </c>
      <c r="U496" s="18">
        <f t="shared" si="425"/>
        <v>6.775411145684898</v>
      </c>
      <c r="V496" s="18">
        <f t="shared" si="426"/>
        <v>1.4226626374840197</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-0.222062718361989+0.0310795043757113i</v>
      </c>
      <c r="AD496" s="66">
        <f t="shared" si="432"/>
        <v>-12.986238507416468</v>
      </c>
      <c r="AE496" s="63">
        <f t="shared" si="433"/>
        <v>172.03273701871751</v>
      </c>
      <c r="AF496" s="51" t="e">
        <f t="shared" si="434"/>
        <v>#NUM!</v>
      </c>
      <c r="AG496" s="51" t="str">
        <f t="shared" si="416"/>
        <v>1-2010.36256863692i</v>
      </c>
      <c r="AH496" s="51">
        <f t="shared" si="435"/>
        <v>2010.3628173482607</v>
      </c>
      <c r="AI496" s="51">
        <f t="shared" si="436"/>
        <v>-1.5702989041244171</v>
      </c>
      <c r="AJ496" s="51" t="str">
        <f t="shared" si="417"/>
        <v>1+6.70120856212304i</v>
      </c>
      <c r="AK496" s="51">
        <f t="shared" si="437"/>
        <v>6.775411145684898</v>
      </c>
      <c r="AL496" s="51">
        <f t="shared" si="438"/>
        <v>1.4226626374840197</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-0.0005453716605752-0.00502362807272555i</v>
      </c>
      <c r="BG496" s="66">
        <f t="shared" si="454"/>
        <v>-45.928765662538858</v>
      </c>
      <c r="BH496" s="63">
        <f t="shared" si="455"/>
        <v>-96.195840612286133</v>
      </c>
      <c r="BI496" s="60" t="e">
        <f t="shared" si="409"/>
        <v>#NUM!</v>
      </c>
      <c r="BJ496" s="66" t="e">
        <f t="shared" si="456"/>
        <v>#NUM!</v>
      </c>
      <c r="BK496" s="63" t="e">
        <f t="shared" si="410"/>
        <v>#NUM!</v>
      </c>
      <c r="BL496" s="51">
        <f t="shared" si="457"/>
        <v>-45.928765662538858</v>
      </c>
      <c r="BM496" s="63">
        <f t="shared" si="458"/>
        <v>-96.195840612286133</v>
      </c>
    </row>
    <row r="497" spans="14:65" x14ac:dyDescent="0.3">
      <c r="N497" s="11">
        <v>79</v>
      </c>
      <c r="O497" s="52">
        <f t="shared" si="459"/>
        <v>616595.00186148309</v>
      </c>
      <c r="P497" s="50" t="str">
        <f t="shared" si="411"/>
        <v>23.3035714285714</v>
      </c>
      <c r="Q497" s="18" t="str">
        <f t="shared" si="412"/>
        <v>1+1469.42137744978i</v>
      </c>
      <c r="R497" s="18">
        <f t="shared" si="423"/>
        <v>1469.4217177197324</v>
      </c>
      <c r="S497" s="18">
        <f t="shared" si="424"/>
        <v>1.5701157869164328</v>
      </c>
      <c r="T497" s="18" t="str">
        <f t="shared" si="413"/>
        <v>1+6.8572997614323i</v>
      </c>
      <c r="U497" s="18">
        <f t="shared" si="425"/>
        <v>6.9298311680833526</v>
      </c>
      <c r="V497" s="18">
        <f t="shared" si="426"/>
        <v>1.4259870959328922</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-0.221237635812771+0.0335497937713927i</v>
      </c>
      <c r="AD497" s="66">
        <f t="shared" si="432"/>
        <v>-13.004078355454068</v>
      </c>
      <c r="AE497" s="63">
        <f t="shared" si="433"/>
        <v>171.37702535340131</v>
      </c>
      <c r="AF497" s="51" t="e">
        <f t="shared" si="434"/>
        <v>#NUM!</v>
      </c>
      <c r="AG497" s="51" t="str">
        <f t="shared" si="416"/>
        <v>1-2057.18992842969i</v>
      </c>
      <c r="AH497" s="51">
        <f t="shared" si="435"/>
        <v>2057.19017147967</v>
      </c>
      <c r="AI497" s="51">
        <f t="shared" si="436"/>
        <v>-1.5703102268449523</v>
      </c>
      <c r="AJ497" s="51" t="str">
        <f t="shared" si="417"/>
        <v>1+6.8572997614323i</v>
      </c>
      <c r="AK497" s="51">
        <f t="shared" si="437"/>
        <v>6.9298311680833526</v>
      </c>
      <c r="AL497" s="51">
        <f t="shared" si="438"/>
        <v>1.4259870959328922</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-0.000591350857930689-0.0048924983089373i</v>
      </c>
      <c r="BG497" s="66">
        <f t="shared" si="454"/>
        <v>-46.146397972924049</v>
      </c>
      <c r="BH497" s="63">
        <f t="shared" si="455"/>
        <v>-96.891845585240532</v>
      </c>
      <c r="BI497" s="60" t="e">
        <f t="shared" si="409"/>
        <v>#NUM!</v>
      </c>
      <c r="BJ497" s="66" t="e">
        <f t="shared" si="456"/>
        <v>#NUM!</v>
      </c>
      <c r="BK497" s="63" t="e">
        <f t="shared" si="410"/>
        <v>#NUM!</v>
      </c>
      <c r="BL497" s="51">
        <f t="shared" si="457"/>
        <v>-46.146397972924049</v>
      </c>
      <c r="BM497" s="63">
        <f t="shared" si="458"/>
        <v>-96.891845585240532</v>
      </c>
    </row>
    <row r="498" spans="14:65" x14ac:dyDescent="0.3">
      <c r="N498" s="11">
        <v>80</v>
      </c>
      <c r="O498" s="52">
        <f t="shared" si="459"/>
        <v>630957.34448019415</v>
      </c>
      <c r="P498" s="50" t="str">
        <f t="shared" si="411"/>
        <v>23.3035714285714</v>
      </c>
      <c r="Q498" s="18" t="str">
        <f t="shared" si="412"/>
        <v>1+1503.64859825189i</v>
      </c>
      <c r="R498" s="18">
        <f t="shared" si="423"/>
        <v>1503.6489307763543</v>
      </c>
      <c r="S498" s="18">
        <f t="shared" si="424"/>
        <v>1.5701312778906962</v>
      </c>
      <c r="T498" s="18" t="str">
        <f t="shared" si="413"/>
        <v>1+7.01702679184215i</v>
      </c>
      <c r="U498" s="18">
        <f t="shared" si="425"/>
        <v>7.0879238848502402</v>
      </c>
      <c r="V498" s="18">
        <f t="shared" si="426"/>
        <v>1.429238998192327</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-0.220357317449191+0.0360103730156676i</v>
      </c>
      <c r="AD498" s="66">
        <f t="shared" si="432"/>
        <v>-13.022991690122311</v>
      </c>
      <c r="AE498" s="63">
        <f t="shared" si="433"/>
        <v>170.71887156604433</v>
      </c>
      <c r="AF498" s="51" t="e">
        <f t="shared" si="434"/>
        <v>#NUM!</v>
      </c>
      <c r="AG498" s="51" t="str">
        <f t="shared" si="416"/>
        <v>1-2105.10803755265i</v>
      </c>
      <c r="AH498" s="51">
        <f t="shared" si="435"/>
        <v>2105.1082750701376</v>
      </c>
      <c r="AI498" s="51">
        <f t="shared" si="436"/>
        <v>-1.5703212918290224</v>
      </c>
      <c r="AJ498" s="51" t="str">
        <f t="shared" si="417"/>
        <v>1+7.01702679184215i</v>
      </c>
      <c r="AK498" s="51">
        <f t="shared" si="437"/>
        <v>7.0879238848502402</v>
      </c>
      <c r="AL498" s="51">
        <f t="shared" si="438"/>
        <v>1.429238998192327</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-0.000634683388136747-0.00476346724204216i</v>
      </c>
      <c r="BG498" s="66">
        <f t="shared" si="454"/>
        <v>-46.365113101362788</v>
      </c>
      <c r="BH498" s="63">
        <f t="shared" si="455"/>
        <v>-97.589377439241659</v>
      </c>
      <c r="BI498" s="60" t="e">
        <f t="shared" ref="BI498:BI560" si="460">IMPRODUCT(AP498,BC498)</f>
        <v>#NUM!</v>
      </c>
      <c r="BJ498" s="66" t="e">
        <f t="shared" si="456"/>
        <v>#NUM!</v>
      </c>
      <c r="BK498" s="63" t="e">
        <f t="shared" ref="BK498:BK560" si="461">(180/PI())*IMARGUMENT(BI498)</f>
        <v>#NUM!</v>
      </c>
      <c r="BL498" s="51">
        <f t="shared" si="457"/>
        <v>-46.365113101362788</v>
      </c>
      <c r="BM498" s="63">
        <f t="shared" si="458"/>
        <v>-97.589377439241659</v>
      </c>
    </row>
    <row r="499" spans="14:65" x14ac:dyDescent="0.3">
      <c r="N499" s="11">
        <v>81</v>
      </c>
      <c r="O499" s="52">
        <f t="shared" si="459"/>
        <v>645654.22903465747</v>
      </c>
      <c r="P499" s="50" t="str">
        <f t="shared" si="411"/>
        <v>23.3035714285714</v>
      </c>
      <c r="Q499" s="18" t="str">
        <f t="shared" si="412"/>
        <v>1+1538.67307344394i</v>
      </c>
      <c r="R499" s="18">
        <f t="shared" si="423"/>
        <v>1538.6733983992251</v>
      </c>
      <c r="S499" s="18">
        <f t="shared" si="424"/>
        <v>1.5701464162476435</v>
      </c>
      <c r="T499" s="18" t="str">
        <f t="shared" si="413"/>
        <v>1+7.18047434273839i</v>
      </c>
      <c r="U499" s="18">
        <f t="shared" si="425"/>
        <v>7.2497732231239</v>
      </c>
      <c r="V499" s="18">
        <f t="shared" si="426"/>
        <v>1.4324197932129512</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-0.219421238386602+0.0384602901910913i</v>
      </c>
      <c r="AD499" s="66">
        <f t="shared" si="432"/>
        <v>-13.043005848767972</v>
      </c>
      <c r="AE499" s="63">
        <f t="shared" si="433"/>
        <v>170.05815479332551</v>
      </c>
      <c r="AF499" s="51" t="e">
        <f t="shared" si="434"/>
        <v>#NUM!</v>
      </c>
      <c r="AG499" s="51" t="str">
        <f t="shared" si="416"/>
        <v>1-2154.14230282152i</v>
      </c>
      <c r="AH499" s="51">
        <f t="shared" si="435"/>
        <v>2154.1425349324495</v>
      </c>
      <c r="AI499" s="51">
        <f t="shared" si="436"/>
        <v>-1.5703321049434171</v>
      </c>
      <c r="AJ499" s="51" t="str">
        <f t="shared" si="417"/>
        <v>1+7.18047434273839i</v>
      </c>
      <c r="AK499" s="51">
        <f t="shared" si="437"/>
        <v>7.2497732231239</v>
      </c>
      <c r="AL499" s="51">
        <f t="shared" si="438"/>
        <v>1.4324197932129512</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-0.000675452249657889-0.00463652750771548i</v>
      </c>
      <c r="BG499" s="66">
        <f t="shared" si="454"/>
        <v>-46.584937966037067</v>
      </c>
      <c r="BH499" s="63">
        <f t="shared" si="455"/>
        <v>-98.28857774127404</v>
      </c>
      <c r="BI499" s="60" t="e">
        <f t="shared" si="460"/>
        <v>#NUM!</v>
      </c>
      <c r="BJ499" s="66" t="e">
        <f t="shared" si="456"/>
        <v>#NUM!</v>
      </c>
      <c r="BK499" s="63" t="e">
        <f t="shared" si="461"/>
        <v>#NUM!</v>
      </c>
      <c r="BL499" s="51">
        <f t="shared" si="457"/>
        <v>-46.584937966037067</v>
      </c>
      <c r="BM499" s="63">
        <f t="shared" si="458"/>
        <v>-98.28857774127404</v>
      </c>
    </row>
    <row r="500" spans="14:65" x14ac:dyDescent="0.3">
      <c r="N500" s="11">
        <v>82</v>
      </c>
      <c r="O500" s="52">
        <f t="shared" si="459"/>
        <v>660693.44800759677</v>
      </c>
      <c r="P500" s="50" t="str">
        <f t="shared" si="411"/>
        <v>23.3035714285714</v>
      </c>
      <c r="Q500" s="18" t="str">
        <f t="shared" si="412"/>
        <v>1+1574.51337346627i</v>
      </c>
      <c r="R500" s="18">
        <f t="shared" si="423"/>
        <v>1574.5136910246711</v>
      </c>
      <c r="S500" s="18">
        <f t="shared" si="424"/>
        <v>1.5701612100138047</v>
      </c>
      <c r="T500" s="18" t="str">
        <f t="shared" si="413"/>
        <v>1+7.34772907617594i</v>
      </c>
      <c r="U500" s="18">
        <f t="shared" si="425"/>
        <v>7.4154650951158381</v>
      </c>
      <c r="V500" s="18">
        <f t="shared" si="426"/>
        <v>1.4355309099070608</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-0.218428883001043+0.0408985322067158i</v>
      </c>
      <c r="AD500" s="66">
        <f t="shared" si="432"/>
        <v>-13.064149068563795</v>
      </c>
      <c r="AE500" s="63">
        <f t="shared" si="433"/>
        <v>169.39475964750994</v>
      </c>
      <c r="AF500" s="51" t="e">
        <f t="shared" si="434"/>
        <v>#NUM!</v>
      </c>
      <c r="AG500" s="51" t="str">
        <f t="shared" si="416"/>
        <v>1-2204.31872285279i</v>
      </c>
      <c r="AH500" s="51">
        <f t="shared" si="435"/>
        <v>2204.3189496802306</v>
      </c>
      <c r="AI500" s="51">
        <f t="shared" si="436"/>
        <v>-1.5703426719213831</v>
      </c>
      <c r="AJ500" s="51" t="str">
        <f t="shared" si="417"/>
        <v>1+7.34772907617594i</v>
      </c>
      <c r="AK500" s="51">
        <f t="shared" si="437"/>
        <v>7.4154650951158381</v>
      </c>
      <c r="AL500" s="51">
        <f t="shared" si="438"/>
        <v>1.4355309099070608</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-0.000713737564973903-0.00451167083394103i</v>
      </c>
      <c r="BG500" s="66">
        <f t="shared" si="454"/>
        <v>-46.805900403748595</v>
      </c>
      <c r="BH500" s="63">
        <f t="shared" si="455"/>
        <v>-98.989582120106249</v>
      </c>
      <c r="BI500" s="60" t="e">
        <f t="shared" si="460"/>
        <v>#NUM!</v>
      </c>
      <c r="BJ500" s="66" t="e">
        <f t="shared" si="456"/>
        <v>#NUM!</v>
      </c>
      <c r="BK500" s="63" t="e">
        <f t="shared" si="461"/>
        <v>#NUM!</v>
      </c>
      <c r="BL500" s="51">
        <f t="shared" si="457"/>
        <v>-46.805900403748595</v>
      </c>
      <c r="BM500" s="63">
        <f t="shared" si="458"/>
        <v>-98.989582120106249</v>
      </c>
    </row>
    <row r="501" spans="14:65" x14ac:dyDescent="0.3">
      <c r="N501" s="11">
        <v>83</v>
      </c>
      <c r="O501" s="52">
        <f t="shared" si="459"/>
        <v>676082.97539198259</v>
      </c>
      <c r="P501" s="50" t="str">
        <f t="shared" si="411"/>
        <v>23.3035714285714</v>
      </c>
      <c r="Q501" s="18" t="str">
        <f t="shared" si="412"/>
        <v>1+1611.18850132037i</v>
      </c>
      <c r="R501" s="18">
        <f t="shared" si="423"/>
        <v>1611.188811650261</v>
      </c>
      <c r="S501" s="18">
        <f t="shared" si="424"/>
        <v>1.5701756670330038</v>
      </c>
      <c r="T501" s="18" t="str">
        <f t="shared" si="413"/>
        <v>1+7.51887967282838i</v>
      </c>
      <c r="U501" s="18">
        <f t="shared" si="425"/>
        <v>7.5850874440886846</v>
      </c>
      <c r="V501" s="18">
        <f t="shared" si="426"/>
        <v>1.4385737568020189</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-0.217379749349763+0.043324022557593i</v>
      </c>
      <c r="AD501" s="66">
        <f t="shared" si="432"/>
        <v>-13.08645047215731</v>
      </c>
      <c r="AE501" s="63">
        <f t="shared" si="433"/>
        <v>168.72857671512645</v>
      </c>
      <c r="AF501" s="51" t="e">
        <f t="shared" si="434"/>
        <v>#NUM!</v>
      </c>
      <c r="AG501" s="51" t="str">
        <f t="shared" si="416"/>
        <v>1-2255.66390184852i</v>
      </c>
      <c r="AH501" s="51">
        <f t="shared" si="435"/>
        <v>2255.6641235127381</v>
      </c>
      <c r="AI501" s="51">
        <f t="shared" si="436"/>
        <v>-1.5703529983656626</v>
      </c>
      <c r="AJ501" s="51" t="str">
        <f t="shared" si="417"/>
        <v>1+7.51887967282838i</v>
      </c>
      <c r="AK501" s="51">
        <f t="shared" si="437"/>
        <v>7.5850874440886846</v>
      </c>
      <c r="AL501" s="51">
        <f t="shared" si="438"/>
        <v>1.4385737568020189</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-0.000749616676277066-0.00438888817175591i</v>
      </c>
      <c r="BG501" s="66">
        <f t="shared" si="454"/>
        <v>-47.028029154727527</v>
      </c>
      <c r="BH501" s="63">
        <f t="shared" si="455"/>
        <v>-99.692519777569288</v>
      </c>
      <c r="BI501" s="60" t="e">
        <f t="shared" si="460"/>
        <v>#NUM!</v>
      </c>
      <c r="BJ501" s="66" t="e">
        <f t="shared" si="456"/>
        <v>#NUM!</v>
      </c>
      <c r="BK501" s="63" t="e">
        <f t="shared" si="461"/>
        <v>#NUM!</v>
      </c>
      <c r="BL501" s="51">
        <f t="shared" si="457"/>
        <v>-47.028029154727527</v>
      </c>
      <c r="BM501" s="63">
        <f t="shared" si="458"/>
        <v>-99.692519777569288</v>
      </c>
    </row>
    <row r="502" spans="14:65" x14ac:dyDescent="0.3">
      <c r="N502" s="11">
        <v>84</v>
      </c>
      <c r="O502" s="52">
        <f t="shared" si="459"/>
        <v>691830.97091893724</v>
      </c>
      <c r="P502" s="50" t="str">
        <f t="shared" si="411"/>
        <v>23.3035714285714</v>
      </c>
      <c r="Q502" s="18" t="str">
        <f t="shared" si="412"/>
        <v>1+1648.71790264446i</v>
      </c>
      <c r="R502" s="18">
        <f t="shared" si="423"/>
        <v>1648.7182059103814</v>
      </c>
      <c r="S502" s="18">
        <f t="shared" si="424"/>
        <v>1.5701897949705201</v>
      </c>
      <c r="T502" s="18" t="str">
        <f t="shared" si="413"/>
        <v>1+7.69401687900749i</v>
      </c>
      <c r="U502" s="18">
        <f t="shared" si="425"/>
        <v>7.758730291384806</v>
      </c>
      <c r="V502" s="18">
        <f t="shared" si="426"/>
        <v>1.4415497217487432</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-0.216273353903606+0.0457356193732042i</v>
      </c>
      <c r="AD502" s="66">
        <f t="shared" si="432"/>
        <v>-13.109940048789095</v>
      </c>
      <c r="AE502" s="63">
        <f t="shared" si="433"/>
        <v>168.0595030540334</v>
      </c>
      <c r="AF502" s="51" t="e">
        <f t="shared" si="434"/>
        <v>#NUM!</v>
      </c>
      <c r="AG502" s="51" t="str">
        <f t="shared" si="416"/>
        <v>1-2308.20506370225i</v>
      </c>
      <c r="AH502" s="51">
        <f t="shared" si="435"/>
        <v>2308.2052803207753</v>
      </c>
      <c r="AI502" s="51">
        <f t="shared" si="436"/>
        <v>-1.5703630897514638</v>
      </c>
      <c r="AJ502" s="51" t="str">
        <f t="shared" si="417"/>
        <v>1+7.69401687900749i</v>
      </c>
      <c r="AK502" s="51">
        <f t="shared" si="437"/>
        <v>7.758730291384806</v>
      </c>
      <c r="AL502" s="51">
        <f t="shared" si="438"/>
        <v>1.4415497217487432</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-0.000783164245639749-0.00426816981883311i</v>
      </c>
      <c r="BG502" s="66">
        <f t="shared" si="454"/>
        <v>-47.251353842949271</v>
      </c>
      <c r="BH502" s="63">
        <f t="shared" si="455"/>
        <v>-100.39751300125802</v>
      </c>
      <c r="BI502" s="60" t="e">
        <f t="shared" si="460"/>
        <v>#NUM!</v>
      </c>
      <c r="BJ502" s="66" t="e">
        <f t="shared" si="456"/>
        <v>#NUM!</v>
      </c>
      <c r="BK502" s="63" t="e">
        <f t="shared" si="461"/>
        <v>#NUM!</v>
      </c>
      <c r="BL502" s="51">
        <f t="shared" si="457"/>
        <v>-47.251353842949271</v>
      </c>
      <c r="BM502" s="63">
        <f t="shared" si="458"/>
        <v>-100.39751300125802</v>
      </c>
    </row>
    <row r="503" spans="14:65" x14ac:dyDescent="0.3">
      <c r="N503" s="11">
        <v>85</v>
      </c>
      <c r="O503" s="52">
        <f t="shared" si="459"/>
        <v>707945.78438413853</v>
      </c>
      <c r="P503" s="50" t="str">
        <f t="shared" si="411"/>
        <v>23.3035714285714</v>
      </c>
      <c r="Q503" s="18" t="str">
        <f t="shared" si="412"/>
        <v>1+1687.1214760239i</v>
      </c>
      <c r="R503" s="18">
        <f t="shared" si="423"/>
        <v>1687.1217723866478</v>
      </c>
      <c r="S503" s="18">
        <f t="shared" si="424"/>
        <v>1.5702036013171503</v>
      </c>
      <c r="T503" s="18" t="str">
        <f t="shared" si="413"/>
        <v>1+7.87323355477821i</v>
      </c>
      <c r="U503" s="18">
        <f t="shared" si="425"/>
        <v>7.936485784532441</v>
      </c>
      <c r="V503" s="18">
        <f t="shared" si="426"/>
        <v>1.4444601716815408</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-0.215109236578539+0.0481321137867446i</v>
      </c>
      <c r="AD503" s="66">
        <f t="shared" si="432"/>
        <v>-13.134648630762779</v>
      </c>
      <c r="AE503" s="63">
        <f t="shared" si="433"/>
        <v>167.3874426877459</v>
      </c>
      <c r="AF503" s="51" t="e">
        <f t="shared" si="434"/>
        <v>#NUM!</v>
      </c>
      <c r="AG503" s="51" t="str">
        <f t="shared" si="416"/>
        <v>1-2361.97006643347i</v>
      </c>
      <c r="AH503" s="51">
        <f t="shared" si="435"/>
        <v>2361.9702781211558</v>
      </c>
      <c r="AI503" s="51">
        <f t="shared" si="436"/>
        <v>-1.5703729514293649</v>
      </c>
      <c r="AJ503" s="51" t="str">
        <f t="shared" si="417"/>
        <v>1+7.87323355477821i</v>
      </c>
      <c r="AK503" s="51">
        <f t="shared" si="437"/>
        <v>7.936485784532441</v>
      </c>
      <c r="AL503" s="51">
        <f t="shared" si="438"/>
        <v>1.4444601716815408</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-0.000814452359218817-0.00414950553565248i</v>
      </c>
      <c r="BG503" s="66">
        <f t="shared" si="454"/>
        <v>-47.47590495183718</v>
      </c>
      <c r="BH503" s="63">
        <f t="shared" si="455"/>
        <v>-101.10467667978449</v>
      </c>
      <c r="BI503" s="60" t="e">
        <f t="shared" si="460"/>
        <v>#NUM!</v>
      </c>
      <c r="BJ503" s="66" t="e">
        <f t="shared" si="456"/>
        <v>#NUM!</v>
      </c>
      <c r="BK503" s="63" t="e">
        <f t="shared" si="461"/>
        <v>#NUM!</v>
      </c>
      <c r="BL503" s="51">
        <f t="shared" si="457"/>
        <v>-47.47590495183718</v>
      </c>
      <c r="BM503" s="63">
        <f t="shared" si="458"/>
        <v>-101.10467667978449</v>
      </c>
    </row>
    <row r="504" spans="14:65" x14ac:dyDescent="0.3">
      <c r="N504" s="11">
        <v>86</v>
      </c>
      <c r="O504" s="52">
        <f t="shared" si="459"/>
        <v>724435.96007499192</v>
      </c>
      <c r="P504" s="50" t="str">
        <f t="shared" si="411"/>
        <v>23.3035714285714</v>
      </c>
      <c r="Q504" s="18" t="str">
        <f t="shared" si="412"/>
        <v>1+1726.41958354162i</v>
      </c>
      <c r="R504" s="18">
        <f t="shared" si="423"/>
        <v>1726.419873158329</v>
      </c>
      <c r="S504" s="18">
        <f t="shared" si="424"/>
        <v>1.5702170933931812</v>
      </c>
      <c r="T504" s="18" t="str">
        <f t="shared" si="413"/>
        <v>1+8.05662472319425i</v>
      </c>
      <c r="U504" s="18">
        <f t="shared" si="425"/>
        <v>8.118448246456019</v>
      </c>
      <c r="V504" s="18">
        <f t="shared" si="426"/>
        <v>1.4473064524257193</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-0.213886966050625+0.0505122286576948i</v>
      </c>
      <c r="AD504" s="66">
        <f t="shared" si="432"/>
        <v>-13.160607865152771</v>
      </c>
      <c r="AE504" s="63">
        <f t="shared" si="433"/>
        <v>166.71230709575048</v>
      </c>
      <c r="AF504" s="51" t="e">
        <f t="shared" si="434"/>
        <v>#NUM!</v>
      </c>
      <c r="AG504" s="51" t="str">
        <f t="shared" si="416"/>
        <v>1-2416.98741695828i</v>
      </c>
      <c r="AH504" s="51">
        <f t="shared" si="435"/>
        <v>2416.987623827366</v>
      </c>
      <c r="AI504" s="51">
        <f t="shared" si="436"/>
        <v>-1.5703825886281506</v>
      </c>
      <c r="AJ504" s="51" t="str">
        <f t="shared" si="417"/>
        <v>1+8.05662472319425i</v>
      </c>
      <c r="AK504" s="51">
        <f t="shared" si="437"/>
        <v>8.118448246456019</v>
      </c>
      <c r="AL504" s="51">
        <f t="shared" si="438"/>
        <v>1.4473064524257193</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-0.000843550635057335-0.00403288465402981i</v>
      </c>
      <c r="BG504" s="66">
        <f t="shared" si="454"/>
        <v>-47.701713795237652</v>
      </c>
      <c r="BH504" s="63">
        <f t="shared" si="455"/>
        <v>-101.8141178218595</v>
      </c>
      <c r="BI504" s="60" t="e">
        <f t="shared" si="460"/>
        <v>#NUM!</v>
      </c>
      <c r="BJ504" s="66" t="e">
        <f t="shared" si="456"/>
        <v>#NUM!</v>
      </c>
      <c r="BK504" s="63" t="e">
        <f t="shared" si="461"/>
        <v>#NUM!</v>
      </c>
      <c r="BL504" s="51">
        <f t="shared" si="457"/>
        <v>-47.701713795237652</v>
      </c>
      <c r="BM504" s="63">
        <f t="shared" si="458"/>
        <v>-101.8141178218595</v>
      </c>
    </row>
    <row r="505" spans="14:65" x14ac:dyDescent="0.3">
      <c r="N505" s="11">
        <v>87</v>
      </c>
      <c r="O505" s="52">
        <f t="shared" si="459"/>
        <v>741310.24130091805</v>
      </c>
      <c r="P505" s="50" t="str">
        <f t="shared" si="411"/>
        <v>23.3035714285714</v>
      </c>
      <c r="Q505" s="18" t="str">
        <f t="shared" si="412"/>
        <v>1+1766.6330615744i</v>
      </c>
      <c r="R505" s="18">
        <f t="shared" si="423"/>
        <v>1766.633344598629</v>
      </c>
      <c r="S505" s="18">
        <f t="shared" si="424"/>
        <v>1.5702302783522704</v>
      </c>
      <c r="T505" s="18" t="str">
        <f t="shared" si="413"/>
        <v>1+8.24428762068052i</v>
      </c>
      <c r="U505" s="18">
        <f t="shared" si="425"/>
        <v>8.3047142258181328</v>
      </c>
      <c r="V505" s="18">
        <f t="shared" si="426"/>
        <v>1.4500898885495899</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-0.212606145335586+0.0528746176804176i</v>
      </c>
      <c r="AD505" s="66">
        <f t="shared" si="432"/>
        <v>-13.187850180638687</v>
      </c>
      <c r="AE505" s="63">
        <f t="shared" si="433"/>
        <v>166.03401569837084</v>
      </c>
      <c r="AF505" s="51" t="e">
        <f t="shared" si="434"/>
        <v>#NUM!</v>
      </c>
      <c r="AG505" s="51" t="str">
        <f t="shared" si="416"/>
        <v>1-2473.28628620416i</v>
      </c>
      <c r="AH505" s="51">
        <f t="shared" si="435"/>
        <v>2473.2864883643315</v>
      </c>
      <c r="AI505" s="51">
        <f t="shared" si="436"/>
        <v>-1.5703920064575843</v>
      </c>
      <c r="AJ505" s="51" t="str">
        <f t="shared" si="417"/>
        <v>1+8.24428762068052i</v>
      </c>
      <c r="AK505" s="51">
        <f t="shared" si="437"/>
        <v>8.3047142258181328</v>
      </c>
      <c r="AL505" s="51">
        <f t="shared" si="438"/>
        <v>1.4500898885495899</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-0.000870526334038279-0.00391829617779681i</v>
      </c>
      <c r="BG505" s="66">
        <f t="shared" si="454"/>
        <v>-47.928812483554857</v>
      </c>
      <c r="BH505" s="63">
        <f t="shared" si="455"/>
        <v>-102.52593508063941</v>
      </c>
      <c r="BI505" s="60" t="e">
        <f t="shared" si="460"/>
        <v>#NUM!</v>
      </c>
      <c r="BJ505" s="66" t="e">
        <f t="shared" si="456"/>
        <v>#NUM!</v>
      </c>
      <c r="BK505" s="63" t="e">
        <f t="shared" si="461"/>
        <v>#NUM!</v>
      </c>
      <c r="BL505" s="51">
        <f t="shared" si="457"/>
        <v>-47.928812483554857</v>
      </c>
      <c r="BM505" s="63">
        <f t="shared" si="458"/>
        <v>-102.52593508063941</v>
      </c>
    </row>
    <row r="506" spans="14:65" x14ac:dyDescent="0.3">
      <c r="N506" s="11">
        <v>88</v>
      </c>
      <c r="O506" s="52">
        <f t="shared" si="459"/>
        <v>758577.57502918423</v>
      </c>
      <c r="P506" s="50" t="str">
        <f t="shared" si="411"/>
        <v>23.3035714285714</v>
      </c>
      <c r="Q506" s="18" t="str">
        <f t="shared" si="412"/>
        <v>1+1807.78323184057i</v>
      </c>
      <c r="R506" s="18">
        <f t="shared" si="423"/>
        <v>1807.7835084223818</v>
      </c>
      <c r="S506" s="18">
        <f t="shared" si="424"/>
        <v>1.5702431631852392</v>
      </c>
      <c r="T506" s="18" t="str">
        <f t="shared" si="413"/>
        <v>1+8.43632174858935i</v>
      </c>
      <c r="U506" s="18">
        <f t="shared" si="425"/>
        <v>8.4953825485213823</v>
      </c>
      <c r="V506" s="18">
        <f t="shared" si="426"/>
        <v>1.452811783257665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-0.211266417610616+0.0552178649115028i</v>
      </c>
      <c r="AD506" s="66">
        <f t="shared" si="432"/>
        <v>-13.216408749364756</v>
      </c>
      <c r="AE506" s="63">
        <f t="shared" si="433"/>
        <v>165.35249633458591</v>
      </c>
      <c r="AF506" s="51" t="e">
        <f t="shared" si="434"/>
        <v>#NUM!</v>
      </c>
      <c r="AG506" s="51" t="str">
        <f t="shared" si="416"/>
        <v>1-2530.89652457681i</v>
      </c>
      <c r="AH506" s="51">
        <f t="shared" si="435"/>
        <v>2530.8967221352545</v>
      </c>
      <c r="AI506" s="51">
        <f t="shared" si="436"/>
        <v>-1.5704012099111164</v>
      </c>
      <c r="AJ506" s="51" t="str">
        <f t="shared" si="417"/>
        <v>1+8.43632174858935i</v>
      </c>
      <c r="AK506" s="51">
        <f t="shared" si="437"/>
        <v>8.4953825485213823</v>
      </c>
      <c r="AL506" s="51">
        <f t="shared" si="438"/>
        <v>1.452811783257665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-0.000895444473536959-0.00380572887544466i</v>
      </c>
      <c r="BG506" s="66">
        <f t="shared" si="454"/>
        <v>-48.157233884940773</v>
      </c>
      <c r="BH506" s="63">
        <f t="shared" si="455"/>
        <v>-103.2402182849408</v>
      </c>
      <c r="BI506" s="60" t="e">
        <f t="shared" si="460"/>
        <v>#NUM!</v>
      </c>
      <c r="BJ506" s="66" t="e">
        <f t="shared" si="456"/>
        <v>#NUM!</v>
      </c>
      <c r="BK506" s="63" t="e">
        <f t="shared" si="461"/>
        <v>#NUM!</v>
      </c>
      <c r="BL506" s="51">
        <f t="shared" si="457"/>
        <v>-48.157233884940773</v>
      </c>
      <c r="BM506" s="63">
        <f t="shared" si="458"/>
        <v>-103.2402182849408</v>
      </c>
    </row>
    <row r="507" spans="14:65" x14ac:dyDescent="0.3">
      <c r="N507" s="11">
        <v>89</v>
      </c>
      <c r="O507" s="52">
        <f t="shared" si="459"/>
        <v>776247.11662869214</v>
      </c>
      <c r="P507" s="50" t="str">
        <f t="shared" si="411"/>
        <v>23.3035714285714</v>
      </c>
      <c r="Q507" s="18" t="str">
        <f t="shared" si="412"/>
        <v>1+1849.89191270511i</v>
      </c>
      <c r="R507" s="18">
        <f t="shared" si="423"/>
        <v>1849.8921829911519</v>
      </c>
      <c r="S507" s="18">
        <f t="shared" si="424"/>
        <v>1.5702557547237794</v>
      </c>
      <c r="T507" s="18" t="str">
        <f t="shared" si="413"/>
        <v>1+8.6328289259572i</v>
      </c>
      <c r="U507" s="18">
        <f t="shared" si="425"/>
        <v>8.690554370397976</v>
      </c>
      <c r="V507" s="18">
        <f t="shared" si="426"/>
        <v>1.4554734183220006</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-0.209867472252426+0.0575404847482155i</v>
      </c>
      <c r="AD507" s="66">
        <f t="shared" si="432"/>
        <v>-13.246317443734021</v>
      </c>
      <c r="AE507" s="63">
        <f t="shared" si="433"/>
        <v>164.66768573104019</v>
      </c>
      <c r="AF507" s="51" t="e">
        <f t="shared" si="434"/>
        <v>#NUM!</v>
      </c>
      <c r="AG507" s="51" t="str">
        <f t="shared" si="416"/>
        <v>1-2589.84867778717i</v>
      </c>
      <c r="AH507" s="51">
        <f t="shared" si="435"/>
        <v>2589.8488708486357</v>
      </c>
      <c r="AI507" s="51">
        <f t="shared" si="436"/>
        <v>-1.5704102038685341</v>
      </c>
      <c r="AJ507" s="51" t="str">
        <f t="shared" si="417"/>
        <v>1+8.6328289259572i</v>
      </c>
      <c r="AK507" s="51">
        <f t="shared" si="437"/>
        <v>8.690554370397976</v>
      </c>
      <c r="AL507" s="51">
        <f t="shared" si="438"/>
        <v>1.4554734183220006</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-0.000918367943308433-0.0036951713645624i</v>
      </c>
      <c r="BG507" s="66">
        <f t="shared" si="454"/>
        <v>-48.387011581450317</v>
      </c>
      <c r="BH507" s="63">
        <f t="shared" si="455"/>
        <v>-103.95704797908378</v>
      </c>
      <c r="BI507" s="60" t="e">
        <f t="shared" si="460"/>
        <v>#NUM!</v>
      </c>
      <c r="BJ507" s="66" t="e">
        <f t="shared" si="456"/>
        <v>#NUM!</v>
      </c>
      <c r="BK507" s="63" t="e">
        <f t="shared" si="461"/>
        <v>#NUM!</v>
      </c>
      <c r="BL507" s="51">
        <f t="shared" si="457"/>
        <v>-48.387011581450317</v>
      </c>
      <c r="BM507" s="63">
        <f t="shared" si="458"/>
        <v>-103.95704797908378</v>
      </c>
    </row>
    <row r="508" spans="14:65" x14ac:dyDescent="0.3">
      <c r="N508" s="11">
        <v>90</v>
      </c>
      <c r="O508" s="52">
        <f t="shared" si="459"/>
        <v>794328.23472428333</v>
      </c>
      <c r="P508" s="50" t="str">
        <f t="shared" si="411"/>
        <v>23.3035714285714</v>
      </c>
      <c r="Q508" s="18" t="str">
        <f t="shared" si="412"/>
        <v>1+1892.98143074799i</v>
      </c>
      <c r="R508" s="18">
        <f t="shared" si="423"/>
        <v>1892.9816948815717</v>
      </c>
      <c r="S508" s="18">
        <f t="shared" si="424"/>
        <v>1.5702680596440759</v>
      </c>
      <c r="T508" s="18" t="str">
        <f t="shared" si="413"/>
        <v>1+8.83391334349061i</v>
      </c>
      <c r="U508" s="18">
        <f t="shared" si="425"/>
        <v>8.8903332311168981</v>
      </c>
      <c r="V508" s="18">
        <f t="shared" si="426"/>
        <v>1.4580760540488289</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-0.208409051061701+0.0598409223897115i</v>
      </c>
      <c r="AD508" s="66">
        <f t="shared" si="432"/>
        <v>-13.277610788058542</v>
      </c>
      <c r="AE508" s="63">
        <f t="shared" si="433"/>
        <v>163.97952996031182</v>
      </c>
      <c r="AF508" s="51" t="e">
        <f t="shared" si="434"/>
        <v>#NUM!</v>
      </c>
      <c r="AG508" s="51" t="str">
        <f t="shared" si="416"/>
        <v>1-2650.17400304719i</v>
      </c>
      <c r="AH508" s="51">
        <f t="shared" si="435"/>
        <v>2650.1741917140403</v>
      </c>
      <c r="AI508" s="51">
        <f t="shared" si="436"/>
        <v>-1.5704189930985468</v>
      </c>
      <c r="AJ508" s="51" t="str">
        <f t="shared" si="417"/>
        <v>1+8.83391334349061i</v>
      </c>
      <c r="AK508" s="51">
        <f t="shared" si="437"/>
        <v>8.8903332311168981</v>
      </c>
      <c r="AL508" s="51">
        <f t="shared" si="438"/>
        <v>1.4580760540488289</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-0.000939357623135964-0.00358661218792435i</v>
      </c>
      <c r="BG508" s="66">
        <f t="shared" si="454"/>
        <v>-48.618179820080897</v>
      </c>
      <c r="BH508" s="63">
        <f t="shared" si="455"/>
        <v>-104.6764949733016</v>
      </c>
      <c r="BI508" s="60" t="e">
        <f t="shared" si="460"/>
        <v>#NUM!</v>
      </c>
      <c r="BJ508" s="66" t="e">
        <f t="shared" si="456"/>
        <v>#NUM!</v>
      </c>
      <c r="BK508" s="63" t="e">
        <f t="shared" si="461"/>
        <v>#NUM!</v>
      </c>
      <c r="BL508" s="51">
        <f t="shared" si="457"/>
        <v>-48.618179820080897</v>
      </c>
      <c r="BM508" s="63">
        <f t="shared" si="458"/>
        <v>-104.6764949733016</v>
      </c>
    </row>
    <row r="509" spans="14:65" x14ac:dyDescent="0.3">
      <c r="N509" s="11">
        <v>91</v>
      </c>
      <c r="O509" s="52">
        <f t="shared" si="459"/>
        <v>812830.51616410096</v>
      </c>
      <c r="P509" s="50" t="str">
        <f t="shared" si="411"/>
        <v>23.3035714285714</v>
      </c>
      <c r="Q509" s="18" t="str">
        <f t="shared" si="412"/>
        <v>1+1937.07463260201i</v>
      </c>
      <c r="R509" s="18">
        <f t="shared" si="423"/>
        <v>1937.0748907231782</v>
      </c>
      <c r="S509" s="18">
        <f t="shared" si="424"/>
        <v>1.5702800844703448</v>
      </c>
      <c r="T509" s="18" t="str">
        <f t="shared" si="413"/>
        <v>1+9.03968161880939i</v>
      </c>
      <c r="U509" s="18">
        <f t="shared" si="425"/>
        <v>9.0948251093377444</v>
      </c>
      <c r="V509" s="18">
        <f t="shared" si="426"/>
        <v>1.4606209292777632</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-0.206890954640013+0.0621175548114327i</v>
      </c>
      <c r="AD509" s="66">
        <f t="shared" si="432"/>
        <v>-13.310323905009502</v>
      </c>
      <c r="AE509" s="63">
        <f t="shared" si="433"/>
        <v>163.28798488635198</v>
      </c>
      <c r="AF509" s="51" t="e">
        <f t="shared" si="434"/>
        <v>#NUM!</v>
      </c>
      <c r="AG509" s="51" t="str">
        <f t="shared" si="416"/>
        <v>1-2711.90448564282i</v>
      </c>
      <c r="AH509" s="51">
        <f t="shared" si="435"/>
        <v>2711.9046700150893</v>
      </c>
      <c r="AI509" s="51">
        <f t="shared" si="436"/>
        <v>-1.5704275822613152</v>
      </c>
      <c r="AJ509" s="51" t="str">
        <f t="shared" si="417"/>
        <v>1+9.03968161880939i</v>
      </c>
      <c r="AK509" s="51">
        <f t="shared" si="437"/>
        <v>9.0948251093377444</v>
      </c>
      <c r="AL509" s="51">
        <f t="shared" si="438"/>
        <v>1.4606209292777632</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-0.000958472501752344-0.00348003988109992i</v>
      </c>
      <c r="BG509" s="66">
        <f t="shared" si="454"/>
        <v>-48.850773458638614</v>
      </c>
      <c r="BH509" s="63">
        <f t="shared" si="455"/>
        <v>-105.39861990680502</v>
      </c>
      <c r="BI509" s="60" t="e">
        <f t="shared" si="460"/>
        <v>#NUM!</v>
      </c>
      <c r="BJ509" s="66" t="e">
        <f t="shared" si="456"/>
        <v>#NUM!</v>
      </c>
      <c r="BK509" s="63" t="e">
        <f t="shared" si="461"/>
        <v>#NUM!</v>
      </c>
      <c r="BL509" s="51">
        <f t="shared" si="457"/>
        <v>-48.850773458638614</v>
      </c>
      <c r="BM509" s="63">
        <f t="shared" si="458"/>
        <v>-105.39861990680502</v>
      </c>
    </row>
    <row r="510" spans="14:65" x14ac:dyDescent="0.3">
      <c r="N510" s="11">
        <v>92</v>
      </c>
      <c r="O510" s="52">
        <f t="shared" si="459"/>
        <v>831763.77110267128</v>
      </c>
      <c r="P510" s="50" t="str">
        <f t="shared" si="411"/>
        <v>23.3035714285714</v>
      </c>
      <c r="Q510" s="18" t="str">
        <f t="shared" si="412"/>
        <v>1+1982.19489706645i</v>
      </c>
      <c r="R510" s="18">
        <f t="shared" si="423"/>
        <v>1982.1951493120637</v>
      </c>
      <c r="S510" s="18">
        <f t="shared" si="424"/>
        <v>1.5702918355782949</v>
      </c>
      <c r="T510" s="18" t="str">
        <f t="shared" si="413"/>
        <v>1+9.25024285297677i</v>
      </c>
      <c r="U510" s="18">
        <f t="shared" si="425"/>
        <v>9.3041384791418391</v>
      </c>
      <c r="V510" s="18">
        <f t="shared" si="426"/>
        <v>1.4631092614110248</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-0.205313048881228+0.0643686922814992i</v>
      </c>
      <c r="AD510" s="66">
        <f t="shared" si="432"/>
        <v>-13.344492456826927</v>
      </c>
      <c r="AE510" s="63">
        <f t="shared" si="433"/>
        <v>162.59301659484021</v>
      </c>
      <c r="AF510" s="51" t="e">
        <f t="shared" si="434"/>
        <v>#NUM!</v>
      </c>
      <c r="AG510" s="51" t="str">
        <f t="shared" si="416"/>
        <v>1-2775.07285589304i</v>
      </c>
      <c r="AH510" s="51">
        <f t="shared" si="435"/>
        <v>2775.0730360684843</v>
      </c>
      <c r="AI510" s="51">
        <f t="shared" si="436"/>
        <v>-1.5704359759109217</v>
      </c>
      <c r="AJ510" s="51" t="str">
        <f t="shared" si="417"/>
        <v>1+9.25024285297677i</v>
      </c>
      <c r="AK510" s="51">
        <f t="shared" si="437"/>
        <v>9.3041384791418391</v>
      </c>
      <c r="AL510" s="51">
        <f t="shared" si="438"/>
        <v>1.4631092614110248</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-0.000975769796532743-0.00337544303148441i</v>
      </c>
      <c r="BG510" s="66">
        <f t="shared" si="454"/>
        <v>-49.084827906390707</v>
      </c>
      <c r="BH510" s="63">
        <f t="shared" si="455"/>
        <v>-106.12347282575905</v>
      </c>
      <c r="BI510" s="60" t="e">
        <f t="shared" si="460"/>
        <v>#NUM!</v>
      </c>
      <c r="BJ510" s="66" t="e">
        <f t="shared" si="456"/>
        <v>#NUM!</v>
      </c>
      <c r="BK510" s="63" t="e">
        <f t="shared" si="461"/>
        <v>#NUM!</v>
      </c>
      <c r="BL510" s="51">
        <f t="shared" si="457"/>
        <v>-49.084827906390707</v>
      </c>
      <c r="BM510" s="63">
        <f t="shared" si="458"/>
        <v>-106.12347282575905</v>
      </c>
    </row>
    <row r="511" spans="14:65" x14ac:dyDescent="0.3">
      <c r="N511" s="11">
        <v>93</v>
      </c>
      <c r="O511" s="52">
        <f t="shared" si="459"/>
        <v>851138.03820237669</v>
      </c>
      <c r="P511" s="50" t="str">
        <f t="shared" si="411"/>
        <v>23.3035714285714</v>
      </c>
      <c r="Q511" s="18" t="str">
        <f t="shared" si="412"/>
        <v>1+2028.36614750277i</v>
      </c>
      <c r="R511" s="18">
        <f t="shared" si="423"/>
        <v>2028.3663940065733</v>
      </c>
      <c r="S511" s="18">
        <f t="shared" si="424"/>
        <v>1.5703033191985056</v>
      </c>
      <c r="T511" s="18" t="str">
        <f t="shared" si="413"/>
        <v>1+9.46570868834626i</v>
      </c>
      <c r="U511" s="18">
        <f t="shared" si="425"/>
        <v>9.5183843677713433</v>
      </c>
      <c r="V511" s="18">
        <f t="shared" si="426"/>
        <v>1.4655422464702796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-0.203675271535128+0.0665925804456407i</v>
      </c>
      <c r="AD511" s="66">
        <f t="shared" si="432"/>
        <v>-13.380152581279097</v>
      </c>
      <c r="AE511" s="63">
        <f t="shared" si="433"/>
        <v>161.89460180606045</v>
      </c>
      <c r="AF511" s="51" t="e">
        <f t="shared" si="434"/>
        <v>#NUM!</v>
      </c>
      <c r="AG511" s="51" t="str">
        <f t="shared" si="416"/>
        <v>1-2839.71260650388i</v>
      </c>
      <c r="AH511" s="51">
        <f t="shared" si="435"/>
        <v>2839.7127825780303</v>
      </c>
      <c r="AI511" s="51">
        <f t="shared" si="436"/>
        <v>-1.5704441784977861</v>
      </c>
      <c r="AJ511" s="51" t="str">
        <f t="shared" si="417"/>
        <v>1+9.46570868834626i</v>
      </c>
      <c r="AK511" s="51">
        <f t="shared" si="437"/>
        <v>9.5183843677713433</v>
      </c>
      <c r="AL511" s="51">
        <f t="shared" si="438"/>
        <v>1.4655422464702796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-0.000991305073441486-0.00327281032867344i</v>
      </c>
      <c r="BG511" s="66">
        <f t="shared" si="454"/>
        <v>-49.320379059492367</v>
      </c>
      <c r="BH511" s="63">
        <f t="shared" si="455"/>
        <v>-106.85109277857012</v>
      </c>
      <c r="BI511" s="60" t="e">
        <f t="shared" si="460"/>
        <v>#NUM!</v>
      </c>
      <c r="BJ511" s="66" t="e">
        <f t="shared" si="456"/>
        <v>#NUM!</v>
      </c>
      <c r="BK511" s="63" t="e">
        <f t="shared" si="461"/>
        <v>#NUM!</v>
      </c>
      <c r="BL511" s="51">
        <f t="shared" si="457"/>
        <v>-49.320379059492367</v>
      </c>
      <c r="BM511" s="63">
        <f t="shared" si="458"/>
        <v>-106.85109277857012</v>
      </c>
    </row>
    <row r="512" spans="14:65" x14ac:dyDescent="0.3">
      <c r="N512" s="11">
        <v>94</v>
      </c>
      <c r="O512" s="52">
        <f t="shared" si="459"/>
        <v>870963.58995608077</v>
      </c>
      <c r="P512" s="50" t="str">
        <f t="shared" si="411"/>
        <v>23.3035714285714</v>
      </c>
      <c r="Q512" s="18" t="str">
        <f t="shared" si="412"/>
        <v>1+2075.61286451909i</v>
      </c>
      <c r="R512" s="18">
        <f t="shared" si="423"/>
        <v>2075.6131054117827</v>
      </c>
      <c r="S512" s="18">
        <f t="shared" si="424"/>
        <v>1.5703145414197326</v>
      </c>
      <c r="T512" s="18" t="str">
        <f t="shared" si="413"/>
        <v>1+9.68619336775577i</v>
      </c>
      <c r="U512" s="18">
        <f t="shared" si="425"/>
        <v>9.7376764147077637</v>
      </c>
      <c r="V512" s="18">
        <f t="shared" si="426"/>
        <v>1.467921059178821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-0.201977638796894+0.0687874030045158i</v>
      </c>
      <c r="AD512" s="66">
        <f t="shared" si="432"/>
        <v>-13.417340822385482</v>
      </c>
      <c r="AE512" s="63">
        <f t="shared" si="433"/>
        <v>161.19272826775236</v>
      </c>
      <c r="AF512" s="51" t="e">
        <f t="shared" si="434"/>
        <v>#NUM!</v>
      </c>
      <c r="AG512" s="51" t="str">
        <f t="shared" si="416"/>
        <v>1-2905.85801032674i</v>
      </c>
      <c r="AH512" s="51">
        <f t="shared" si="435"/>
        <v>2905.8581823929539</v>
      </c>
      <c r="AI512" s="51">
        <f t="shared" si="436"/>
        <v>-1.5704521943710237</v>
      </c>
      <c r="AJ512" s="51" t="str">
        <f t="shared" si="417"/>
        <v>1+9.68619336775577i</v>
      </c>
      <c r="AK512" s="51">
        <f t="shared" si="437"/>
        <v>9.7376764147077637</v>
      </c>
      <c r="AL512" s="51">
        <f t="shared" si="438"/>
        <v>1.467921059178821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-0.00100513236670045-0.00317213060613348i</v>
      </c>
      <c r="BG512" s="66">
        <f t="shared" si="454"/>
        <v>-49.55746323120016</v>
      </c>
      <c r="BH512" s="63">
        <f t="shared" si="455"/>
        <v>-107.5815074310312</v>
      </c>
      <c r="BI512" s="60" t="e">
        <f t="shared" si="460"/>
        <v>#NUM!</v>
      </c>
      <c r="BJ512" s="66" t="e">
        <f t="shared" si="456"/>
        <v>#NUM!</v>
      </c>
      <c r="BK512" s="63" t="e">
        <f t="shared" si="461"/>
        <v>#NUM!</v>
      </c>
      <c r="BL512" s="51">
        <f t="shared" si="457"/>
        <v>-49.55746323120016</v>
      </c>
      <c r="BM512" s="63">
        <f t="shared" si="458"/>
        <v>-107.5815074310312</v>
      </c>
    </row>
    <row r="513" spans="14:65" x14ac:dyDescent="0.3">
      <c r="N513" s="11">
        <v>95</v>
      </c>
      <c r="O513" s="52">
        <f t="shared" si="459"/>
        <v>891250.93813374708</v>
      </c>
      <c r="P513" s="50" t="str">
        <f t="shared" si="411"/>
        <v>23.3035714285714</v>
      </c>
      <c r="Q513" s="18" t="str">
        <f t="shared" si="412"/>
        <v>1+2123.96009895017i</v>
      </c>
      <c r="R513" s="18">
        <f t="shared" si="423"/>
        <v>2123.9603343594758</v>
      </c>
      <c r="S513" s="18">
        <f t="shared" si="424"/>
        <v>1.5703255081921346</v>
      </c>
      <c r="T513" s="18" t="str">
        <f t="shared" si="413"/>
        <v>1+9.91181379510081i</v>
      </c>
      <c r="U513" s="18">
        <f t="shared" si="425"/>
        <v>9.9621309321224398</v>
      </c>
      <c r="V513" s="18">
        <f t="shared" si="426"/>
        <v>1.470246853066967</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-0.200220251871877+0.0709512850038091i</v>
      </c>
      <c r="AD513" s="66">
        <f t="shared" si="432"/>
        <v>-13.45609405595463</v>
      </c>
      <c r="AE513" s="63">
        <f t="shared" si="433"/>
        <v>160.4873951252813</v>
      </c>
      <c r="AF513" s="51" t="e">
        <f t="shared" si="434"/>
        <v>#NUM!</v>
      </c>
      <c r="AG513" s="51" t="str">
        <f t="shared" si="416"/>
        <v>1-2973.54413853025i</v>
      </c>
      <c r="AH513" s="51">
        <f t="shared" si="435"/>
        <v>2973.5443066797588</v>
      </c>
      <c r="AI513" s="51">
        <f t="shared" si="436"/>
        <v>-1.5704600277807528</v>
      </c>
      <c r="AJ513" s="51" t="str">
        <f t="shared" si="417"/>
        <v>1+9.91181379510081i</v>
      </c>
      <c r="AK513" s="51">
        <f t="shared" si="437"/>
        <v>9.9621309321224398</v>
      </c>
      <c r="AL513" s="51">
        <f t="shared" si="438"/>
        <v>1.470246853066967</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-0.00101730429762924-0.00307339287414967i</v>
      </c>
      <c r="BG513" s="66">
        <f t="shared" si="454"/>
        <v>-49.79611707692429</v>
      </c>
      <c r="BH513" s="63">
        <f t="shared" si="455"/>
        <v>-108.31473270398467</v>
      </c>
      <c r="BI513" s="60" t="e">
        <f t="shared" si="460"/>
        <v>#NUM!</v>
      </c>
      <c r="BJ513" s="66" t="e">
        <f t="shared" si="456"/>
        <v>#NUM!</v>
      </c>
      <c r="BK513" s="63" t="e">
        <f t="shared" si="461"/>
        <v>#NUM!</v>
      </c>
      <c r="BL513" s="51">
        <f t="shared" si="457"/>
        <v>-49.79611707692429</v>
      </c>
      <c r="BM513" s="63">
        <f t="shared" si="458"/>
        <v>-108.31473270398467</v>
      </c>
    </row>
    <row r="514" spans="14:65" x14ac:dyDescent="0.3">
      <c r="N514" s="11">
        <v>96</v>
      </c>
      <c r="O514" s="52">
        <f t="shared" si="459"/>
        <v>912010.83935591124</v>
      </c>
      <c r="P514" s="50" t="str">
        <f t="shared" si="411"/>
        <v>23.3035714285714</v>
      </c>
      <c r="Q514" s="18" t="str">
        <f t="shared" si="412"/>
        <v>1+2173.43348513965i</v>
      </c>
      <c r="R514" s="18">
        <f t="shared" si="423"/>
        <v>2173.4337151903865</v>
      </c>
      <c r="S514" s="18">
        <f t="shared" si="424"/>
        <v>1.5703362253304292</v>
      </c>
      <c r="T514" s="18" t="str">
        <f t="shared" si="413"/>
        <v>1+10.1426895973184i</v>
      </c>
      <c r="U514" s="18">
        <f t="shared" si="425"/>
        <v>10.191866966731409</v>
      </c>
      <c r="V514" s="18">
        <f t="shared" si="426"/>
        <v>1.4725207605986697</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-0.19840330346127+0.07308229675359i</v>
      </c>
      <c r="AD514" s="66">
        <f t="shared" si="432"/>
        <v>-13.496449410018256</v>
      </c>
      <c r="AE514" s="63">
        <f t="shared" si="433"/>
        <v>159.77861326635053</v>
      </c>
      <c r="AF514" s="51" t="e">
        <f t="shared" si="434"/>
        <v>#NUM!</v>
      </c>
      <c r="AG514" s="51" t="str">
        <f t="shared" si="416"/>
        <v>1-3042.80687919551i</v>
      </c>
      <c r="AH514" s="51">
        <f t="shared" si="435"/>
        <v>3042.8070435174691</v>
      </c>
      <c r="AI514" s="51">
        <f t="shared" si="436"/>
        <v>-1.5704676828803468</v>
      </c>
      <c r="AJ514" s="51" t="str">
        <f t="shared" si="417"/>
        <v>1+10.1426895973184i</v>
      </c>
      <c r="AK514" s="51">
        <f t="shared" si="437"/>
        <v>10.191866966731409</v>
      </c>
      <c r="AL514" s="51">
        <f t="shared" si="438"/>
        <v>1.4725207605986697</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-0.00102787219209358-0.00297658634407041i</v>
      </c>
      <c r="BG514" s="66">
        <f t="shared" si="454"/>
        <v>-50.036377514197845</v>
      </c>
      <c r="BH514" s="63">
        <f t="shared" si="455"/>
        <v>-109.05077243628031</v>
      </c>
      <c r="BI514" s="60" t="e">
        <f t="shared" si="460"/>
        <v>#NUM!</v>
      </c>
      <c r="BJ514" s="66" t="e">
        <f t="shared" si="456"/>
        <v>#NUM!</v>
      </c>
      <c r="BK514" s="63" t="e">
        <f t="shared" si="461"/>
        <v>#NUM!</v>
      </c>
      <c r="BL514" s="51">
        <f t="shared" si="457"/>
        <v>-50.036377514197845</v>
      </c>
      <c r="BM514" s="63">
        <f t="shared" si="458"/>
        <v>-109.05077243628031</v>
      </c>
    </row>
    <row r="515" spans="14:65" x14ac:dyDescent="0.3">
      <c r="N515" s="11">
        <v>97</v>
      </c>
      <c r="O515" s="52">
        <f t="shared" si="459"/>
        <v>933254.30079699249</v>
      </c>
      <c r="P515" s="50" t="str">
        <f t="shared" si="411"/>
        <v>23.3035714285714</v>
      </c>
      <c r="Q515" s="18" t="str">
        <f t="shared" si="412"/>
        <v>1+2224.05925453174i</v>
      </c>
      <c r="R515" s="18">
        <f t="shared" si="423"/>
        <v>2224.0594793458827</v>
      </c>
      <c r="S515" s="18">
        <f t="shared" si="424"/>
        <v>1.5703466985169747</v>
      </c>
      <c r="T515" s="18" t="str">
        <f t="shared" si="413"/>
        <v>1+10.3789431878148i</v>
      </c>
      <c r="U515" s="18">
        <f t="shared" si="425"/>
        <v>10.427006363088461</v>
      </c>
      <c r="V515" s="18">
        <f t="shared" si="426"/>
        <v>1.4747438933174573</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-0.196527084110481+0.0751784583887129i</v>
      </c>
      <c r="AD515" s="66">
        <f t="shared" si="432"/>
        <v>-13.538444180287604</v>
      </c>
      <c r="AE515" s="63">
        <f t="shared" si="433"/>
        <v>159.06640563740447</v>
      </c>
      <c r="AF515" s="51" t="e">
        <f t="shared" si="434"/>
        <v>#NUM!</v>
      </c>
      <c r="AG515" s="51" t="str">
        <f t="shared" si="416"/>
        <v>1-3113.68295634444i</v>
      </c>
      <c r="AH515" s="51">
        <f t="shared" si="435"/>
        <v>3113.6831169259744</v>
      </c>
      <c r="AI515" s="51">
        <f t="shared" si="436"/>
        <v>-1.5704751637286376</v>
      </c>
      <c r="AJ515" s="51" t="str">
        <f t="shared" si="417"/>
        <v>1+10.3789431878148i</v>
      </c>
      <c r="AK515" s="51">
        <f t="shared" si="437"/>
        <v>10.427006363088461</v>
      </c>
      <c r="AL515" s="51">
        <f t="shared" si="438"/>
        <v>1.4747438933174573</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-0.00103688619598279-0.00288170044390354i</v>
      </c>
      <c r="BG515" s="66">
        <f t="shared" si="454"/>
        <v>-50.278281637688877</v>
      </c>
      <c r="BH515" s="63">
        <f t="shared" si="455"/>
        <v>-109.78961807588473</v>
      </c>
      <c r="BI515" s="60" t="e">
        <f t="shared" si="460"/>
        <v>#NUM!</v>
      </c>
      <c r="BJ515" s="66" t="e">
        <f t="shared" si="456"/>
        <v>#NUM!</v>
      </c>
      <c r="BK515" s="63" t="e">
        <f t="shared" si="461"/>
        <v>#NUM!</v>
      </c>
      <c r="BL515" s="51">
        <f t="shared" si="457"/>
        <v>-50.278281637688877</v>
      </c>
      <c r="BM515" s="63">
        <f t="shared" si="458"/>
        <v>-109.78961807588473</v>
      </c>
    </row>
    <row r="516" spans="14:65" x14ac:dyDescent="0.3">
      <c r="N516" s="11">
        <v>98</v>
      </c>
      <c r="O516" s="52">
        <f t="shared" si="459"/>
        <v>954992.58602143743</v>
      </c>
      <c r="P516" s="50" t="str">
        <f t="shared" si="411"/>
        <v>23.3035714285714</v>
      </c>
      <c r="Q516" s="18" t="str">
        <f t="shared" si="412"/>
        <v>1+2275.86424957949i</v>
      </c>
      <c r="R516" s="18">
        <f t="shared" si="423"/>
        <v>2275.8644692762387</v>
      </c>
      <c r="S516" s="18">
        <f t="shared" si="424"/>
        <v>1.5703569333047844</v>
      </c>
      <c r="T516" s="18" t="str">
        <f t="shared" si="413"/>
        <v>1+10.6206998313709i</v>
      </c>
      <c r="U516" s="18">
        <f t="shared" si="425"/>
        <v>10.667673828350859</v>
      </c>
      <c r="V516" s="18">
        <f t="shared" si="426"/>
        <v>1.4769173420099495</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-0.194591988358747+0.0772377450768198i</v>
      </c>
      <c r="AD516" s="66">
        <f t="shared" si="432"/>
        <v>-13.582115740796537</v>
      </c>
      <c r="AE516" s="63">
        <f t="shared" si="433"/>
        <v>158.35080752880341</v>
      </c>
      <c r="AF516" s="51" t="e">
        <f t="shared" si="434"/>
        <v>#NUM!</v>
      </c>
      <c r="AG516" s="51" t="str">
        <f t="shared" si="416"/>
        <v>1-3186.20994941129i</v>
      </c>
      <c r="AH516" s="51">
        <f t="shared" si="435"/>
        <v>3186.210106337543</v>
      </c>
      <c r="AI516" s="51">
        <f t="shared" si="436"/>
        <v>-1.5704824742920662</v>
      </c>
      <c r="AJ516" s="51" t="str">
        <f t="shared" si="417"/>
        <v>1+10.6206998313709i</v>
      </c>
      <c r="AK516" s="51">
        <f t="shared" si="437"/>
        <v>10.667673828350859</v>
      </c>
      <c r="AL516" s="51">
        <f t="shared" si="438"/>
        <v>1.4769173420099495</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-0.0010443953881253-0.0027887248253627i</v>
      </c>
      <c r="BG516" s="66">
        <f t="shared" si="454"/>
        <v>-50.521866629420636</v>
      </c>
      <c r="BH516" s="63">
        <f t="shared" si="455"/>
        <v>-110.53124840206212</v>
      </c>
      <c r="BI516" s="60" t="e">
        <f t="shared" si="460"/>
        <v>#NUM!</v>
      </c>
      <c r="BJ516" s="66" t="e">
        <f t="shared" si="456"/>
        <v>#NUM!</v>
      </c>
      <c r="BK516" s="63" t="e">
        <f t="shared" si="461"/>
        <v>#NUM!</v>
      </c>
      <c r="BL516" s="51">
        <f t="shared" si="457"/>
        <v>-50.521866629420636</v>
      </c>
      <c r="BM516" s="63">
        <f t="shared" si="458"/>
        <v>-110.53124840206212</v>
      </c>
    </row>
    <row r="517" spans="14:65" x14ac:dyDescent="0.3">
      <c r="N517" s="11">
        <v>99</v>
      </c>
      <c r="O517" s="52">
        <f t="shared" si="459"/>
        <v>977237.22095581202</v>
      </c>
      <c r="P517" s="50" t="str">
        <f t="shared" si="411"/>
        <v>23.3035714285714</v>
      </c>
      <c r="Q517" s="18" t="str">
        <f t="shared" si="412"/>
        <v>1+2328.87593797699i</v>
      </c>
      <c r="R517" s="18">
        <f t="shared" si="423"/>
        <v>2328.8761526728304</v>
      </c>
      <c r="S517" s="18">
        <f t="shared" si="424"/>
        <v>1.5703669351204694</v>
      </c>
      <c r="T517" s="18" t="str">
        <f t="shared" si="413"/>
        <v>1+10.8680877105593i</v>
      </c>
      <c r="U517" s="18">
        <f t="shared" si="425"/>
        <v>10.913996998552367</v>
      </c>
      <c r="V517" s="18">
        <f t="shared" si="426"/>
        <v>1.4790421768852946</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-0.192598520625621+0.079258092874606i</v>
      </c>
      <c r="AD517" s="66">
        <f t="shared" si="432"/>
        <v>-13.627501449941487</v>
      </c>
      <c r="AE517" s="63">
        <f t="shared" si="433"/>
        <v>157.63186682582298</v>
      </c>
      <c r="AF517" s="51" t="e">
        <f t="shared" si="434"/>
        <v>#NUM!</v>
      </c>
      <c r="AG517" s="51" t="str">
        <f t="shared" si="416"/>
        <v>1-3260.42631316779i</v>
      </c>
      <c r="AH517" s="51">
        <f t="shared" si="435"/>
        <v>3260.4264665219653</v>
      </c>
      <c r="AI517" s="51">
        <f t="shared" si="436"/>
        <v>-1.5704896184467874</v>
      </c>
      <c r="AJ517" s="51" t="str">
        <f t="shared" si="417"/>
        <v>1+10.8680877105593i</v>
      </c>
      <c r="AK517" s="51">
        <f t="shared" si="437"/>
        <v>10.913996998552367</v>
      </c>
      <c r="AL517" s="51">
        <f t="shared" si="438"/>
        <v>1.4790421768852946</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-0.00105044789004193-0.00269764936251007i</v>
      </c>
      <c r="BG517" s="66">
        <f t="shared" si="454"/>
        <v>-50.767169664405344</v>
      </c>
      <c r="BH517" s="63">
        <f t="shared" si="455"/>
        <v>-111.27562928157582</v>
      </c>
      <c r="BI517" s="60" t="e">
        <f t="shared" si="460"/>
        <v>#NUM!</v>
      </c>
      <c r="BJ517" s="66" t="e">
        <f t="shared" si="456"/>
        <v>#NUM!</v>
      </c>
      <c r="BK517" s="63" t="e">
        <f t="shared" si="461"/>
        <v>#NUM!</v>
      </c>
      <c r="BL517" s="51">
        <f t="shared" si="457"/>
        <v>-50.767169664405344</v>
      </c>
      <c r="BM517" s="63">
        <f t="shared" si="458"/>
        <v>-111.27562928157582</v>
      </c>
    </row>
    <row r="518" spans="14:65" x14ac:dyDescent="0.3">
      <c r="N518" s="11">
        <v>100</v>
      </c>
      <c r="O518" s="52">
        <f t="shared" si="459"/>
        <v>1000000</v>
      </c>
      <c r="P518" s="50" t="str">
        <f t="shared" si="411"/>
        <v>23.3035714285714</v>
      </c>
      <c r="Q518" s="18" t="str">
        <f t="shared" si="412"/>
        <v>1+2383.12242722312i</v>
      </c>
      <c r="R518" s="18">
        <f t="shared" si="423"/>
        <v>2383.1226370318873</v>
      </c>
      <c r="S518" s="18">
        <f t="shared" si="424"/>
        <v>1.5703767092671173</v>
      </c>
      <c r="T518" s="18" t="str">
        <f t="shared" si="413"/>
        <v>1+11.1212379937079i</v>
      </c>
      <c r="U518" s="18">
        <f t="shared" si="425"/>
        <v>11.166106506418974</v>
      </c>
      <c r="V518" s="18">
        <f t="shared" si="426"/>
        <v>1.4811194477689784</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-0.190547300767564+0.0812374052265081i</v>
      </c>
      <c r="AD518" s="66">
        <f t="shared" si="432"/>
        <v>-13.674638552178308</v>
      </c>
      <c r="AE518" s="63">
        <f t="shared" si="433"/>
        <v>156.90964422252819</v>
      </c>
      <c r="AF518" s="51" t="e">
        <f t="shared" si="434"/>
        <v>#NUM!</v>
      </c>
      <c r="AG518" s="51" t="str">
        <f t="shared" si="416"/>
        <v>1-3336.37139811237i</v>
      </c>
      <c r="AH518" s="51">
        <f t="shared" si="435"/>
        <v>3336.3715479757784</v>
      </c>
      <c r="AI518" s="51">
        <f t="shared" si="436"/>
        <v>-1.5704965999807234</v>
      </c>
      <c r="AJ518" s="51" t="str">
        <f t="shared" si="417"/>
        <v>1+11.1212379937079i</v>
      </c>
      <c r="AK518" s="51">
        <f t="shared" si="437"/>
        <v>11.166106506418974</v>
      </c>
      <c r="AL518" s="51">
        <f t="shared" si="438"/>
        <v>1.4811194477689784</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-0.00105509097192954-0.00260846414218857i</v>
      </c>
      <c r="BG518" s="66">
        <f t="shared" si="454"/>
        <v>-51.014227811954704</v>
      </c>
      <c r="BH518" s="63">
        <f t="shared" si="455"/>
        <v>-112.02271346186645</v>
      </c>
      <c r="BI518" s="60" t="e">
        <f t="shared" si="460"/>
        <v>#NUM!</v>
      </c>
      <c r="BJ518" s="66" t="e">
        <f t="shared" si="456"/>
        <v>#NUM!</v>
      </c>
      <c r="BK518" s="63" t="e">
        <f t="shared" si="461"/>
        <v>#NUM!</v>
      </c>
      <c r="BL518" s="51">
        <f t="shared" si="457"/>
        <v>-51.014227811954704</v>
      </c>
      <c r="BM518" s="63">
        <f t="shared" si="458"/>
        <v>-112.02271346186645</v>
      </c>
    </row>
    <row r="519" spans="14:65" x14ac:dyDescent="0.3">
      <c r="N519" s="11">
        <v>1</v>
      </c>
      <c r="O519" s="52">
        <f>10^(6+(N519/100))</f>
        <v>1023292.9922807553</v>
      </c>
      <c r="P519" s="50" t="str">
        <f t="shared" si="411"/>
        <v>23.3035714285714</v>
      </c>
      <c r="Q519" s="18" t="str">
        <f t="shared" si="412"/>
        <v>1+2438.63247952452i</v>
      </c>
      <c r="R519" s="18">
        <f t="shared" si="423"/>
        <v>2438.6326845574567</v>
      </c>
      <c r="S519" s="18">
        <f t="shared" si="424"/>
        <v>1.570386260927102</v>
      </c>
      <c r="T519" s="18" t="str">
        <f t="shared" si="413"/>
        <v>1+11.3802849044478i</v>
      </c>
      <c r="U519" s="18">
        <f t="shared" si="425"/>
        <v>11.424136050765609</v>
      </c>
      <c r="V519" s="18">
        <f t="shared" si="426"/>
        <v>1.4831501843095787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-0.188439069236295+0.0831735600930059i</v>
      </c>
      <c r="AD519" s="66">
        <f t="shared" si="432"/>
        <v>-13.723564075680128</v>
      </c>
      <c r="AE519" s="63">
        <f t="shared" si="433"/>
        <v>156.18421339560248</v>
      </c>
      <c r="AF519" s="51" t="e">
        <f t="shared" si="434"/>
        <v>#NUM!</v>
      </c>
      <c r="AG519" s="51" t="str">
        <f t="shared" si="416"/>
        <v>1-3414.08547133434i</v>
      </c>
      <c r="AH519" s="51">
        <f t="shared" si="435"/>
        <v>3414.0856177864403</v>
      </c>
      <c r="AI519" s="51">
        <f t="shared" si="436"/>
        <v>-1.5705034225955734</v>
      </c>
      <c r="AJ519" s="51" t="str">
        <f t="shared" si="417"/>
        <v>1+11.3802849044478i</v>
      </c>
      <c r="AK519" s="51">
        <f t="shared" si="437"/>
        <v>11.424136050765609</v>
      </c>
      <c r="AL519" s="51">
        <f t="shared" si="438"/>
        <v>1.4831501843095787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-0.00105837115426694-0.00252115944649409i</v>
      </c>
      <c r="BG519" s="66">
        <f t="shared" si="454"/>
        <v>-51.263077932968024</v>
      </c>
      <c r="BH519" s="63">
        <f t="shared" si="455"/>
        <v>-112.77244040412306</v>
      </c>
      <c r="BI519" s="60" t="e">
        <f t="shared" si="460"/>
        <v>#NUM!</v>
      </c>
      <c r="BJ519" s="66" t="e">
        <f t="shared" si="456"/>
        <v>#NUM!</v>
      </c>
      <c r="BK519" s="63" t="e">
        <f t="shared" si="461"/>
        <v>#NUM!</v>
      </c>
      <c r="BL519" s="51">
        <f t="shared" si="457"/>
        <v>-51.263077932968024</v>
      </c>
      <c r="BM519" s="63">
        <f t="shared" si="458"/>
        <v>-112.77244040412306</v>
      </c>
    </row>
    <row r="520" spans="14:65" x14ac:dyDescent="0.3">
      <c r="N520" s="11">
        <v>2</v>
      </c>
      <c r="O520" s="52">
        <f t="shared" ref="O520:O560" si="462">10^(6+(N520/100))</f>
        <v>1047128.5480509007</v>
      </c>
      <c r="P520" s="50" t="str">
        <f t="shared" si="411"/>
        <v>23.3035714285714</v>
      </c>
      <c r="Q520" s="18" t="str">
        <f t="shared" si="412"/>
        <v>1+2495.43552704568i</v>
      </c>
      <c r="R520" s="18">
        <f t="shared" si="423"/>
        <v>2495.4357274114973</v>
      </c>
      <c r="S520" s="18">
        <f t="shared" si="424"/>
        <v>1.5703955951648332</v>
      </c>
      <c r="T520" s="18" t="str">
        <f t="shared" si="413"/>
        <v>1+11.6453657928798i</v>
      </c>
      <c r="U520" s="18">
        <f t="shared" si="425"/>
        <v>11.688222467508691</v>
      </c>
      <c r="V520" s="18">
        <f t="shared" si="426"/>
        <v>1.4851353961970939</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-0.186274691769505+0.0850644176881473i</v>
      </c>
      <c r="AD520" s="66">
        <f t="shared" si="432"/>
        <v>-13.774314726316742</v>
      </c>
      <c r="AE520" s="63">
        <f t="shared" si="433"/>
        <v>155.45566113528926</v>
      </c>
      <c r="AF520" s="51" t="e">
        <f t="shared" si="434"/>
        <v>#NUM!</v>
      </c>
      <c r="AG520" s="51" t="str">
        <f t="shared" si="416"/>
        <v>1-3493.60973786396i</v>
      </c>
      <c r="AH520" s="51">
        <f t="shared" si="435"/>
        <v>3493.6098809824048</v>
      </c>
      <c r="AI520" s="51">
        <f t="shared" si="436"/>
        <v>-1.5705100899087752</v>
      </c>
      <c r="AJ520" s="51" t="str">
        <f t="shared" si="417"/>
        <v>1+11.6453657928798i</v>
      </c>
      <c r="AK520" s="51">
        <f t="shared" si="437"/>
        <v>11.688222467508691</v>
      </c>
      <c r="AL520" s="51">
        <f t="shared" si="438"/>
        <v>1.4851353961970939</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-0.00106033430443744-0.00243572572759218i</v>
      </c>
      <c r="BG520" s="66">
        <f t="shared" si="454"/>
        <v>-51.513756573558197</v>
      </c>
      <c r="BH520" s="63">
        <f t="shared" si="455"/>
        <v>-113.52473615909867</v>
      </c>
      <c r="BI520" s="60" t="e">
        <f t="shared" si="460"/>
        <v>#NUM!</v>
      </c>
      <c r="BJ520" s="66" t="e">
        <f t="shared" si="456"/>
        <v>#NUM!</v>
      </c>
      <c r="BK520" s="63" t="e">
        <f t="shared" si="461"/>
        <v>#NUM!</v>
      </c>
      <c r="BL520" s="51">
        <f t="shared" si="457"/>
        <v>-51.513756573558197</v>
      </c>
      <c r="BM520" s="63">
        <f t="shared" si="458"/>
        <v>-113.52473615909867</v>
      </c>
    </row>
    <row r="521" spans="14:65" x14ac:dyDescent="0.3">
      <c r="N521" s="11">
        <v>3</v>
      </c>
      <c r="O521" s="52">
        <f t="shared" si="462"/>
        <v>1071519.3052376076</v>
      </c>
      <c r="P521" s="50" t="str">
        <f t="shared" si="411"/>
        <v>23.3035714285714</v>
      </c>
      <c r="Q521" s="18" t="str">
        <f t="shared" si="412"/>
        <v>1+2553.56168751427i</v>
      </c>
      <c r="R521" s="18">
        <f t="shared" si="423"/>
        <v>2553.5618833192057</v>
      </c>
      <c r="S521" s="18">
        <f t="shared" si="424"/>
        <v>1.5704047169294408</v>
      </c>
      <c r="T521" s="18" t="str">
        <f t="shared" si="413"/>
        <v>1+11.9166212083999i</v>
      </c>
      <c r="U521" s="18">
        <f t="shared" si="425"/>
        <v>11.958505802335267</v>
      </c>
      <c r="V521" s="18">
        <f t="shared" si="426"/>
        <v>1.4870760733916093</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-0.18405516354457+0.0869078287980632i</v>
      </c>
      <c r="AD521" s="66">
        <f t="shared" si="432"/>
        <v>-13.826926778362004</v>
      </c>
      <c r="AE521" s="63">
        <f t="shared" si="433"/>
        <v>154.72408743070656</v>
      </c>
      <c r="AF521" s="51" t="e">
        <f t="shared" si="434"/>
        <v>#NUM!</v>
      </c>
      <c r="AG521" s="51" t="str">
        <f t="shared" si="416"/>
        <v>1-3574.98636251999i</v>
      </c>
      <c r="AH521" s="51">
        <f t="shared" si="435"/>
        <v>3574.986502380661</v>
      </c>
      <c r="AI521" s="51">
        <f t="shared" si="436"/>
        <v>-1.5705166054554245</v>
      </c>
      <c r="AJ521" s="51" t="str">
        <f t="shared" si="417"/>
        <v>1+11.9166212083999i</v>
      </c>
      <c r="AK521" s="51">
        <f t="shared" si="437"/>
        <v>11.958505802335267</v>
      </c>
      <c r="AL521" s="51">
        <f t="shared" si="438"/>
        <v>1.4870760733916093</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-0.00106102572777226-0.00235215357524493i</v>
      </c>
      <c r="BG521" s="66">
        <f t="shared" si="454"/>
        <v>-51.766299855422133</v>
      </c>
      <c r="BH521" s="63">
        <f t="shared" si="455"/>
        <v>-114.27951328840791</v>
      </c>
      <c r="BI521" s="60" t="e">
        <f t="shared" si="460"/>
        <v>#NUM!</v>
      </c>
      <c r="BJ521" s="66" t="e">
        <f t="shared" si="456"/>
        <v>#NUM!</v>
      </c>
      <c r="BK521" s="63" t="e">
        <f t="shared" si="461"/>
        <v>#NUM!</v>
      </c>
      <c r="BL521" s="51">
        <f t="shared" si="457"/>
        <v>-51.766299855422133</v>
      </c>
      <c r="BM521" s="63">
        <f t="shared" si="458"/>
        <v>-114.27951328840791</v>
      </c>
    </row>
    <row r="522" spans="14:65" x14ac:dyDescent="0.3">
      <c r="N522" s="11">
        <v>4</v>
      </c>
      <c r="O522" s="52">
        <f t="shared" si="462"/>
        <v>1096478.196143186</v>
      </c>
      <c r="P522" s="50" t="str">
        <f t="shared" si="411"/>
        <v>23.3035714285714</v>
      </c>
      <c r="Q522" s="18" t="str">
        <f t="shared" si="412"/>
        <v>1+2613.04178018997i</v>
      </c>
      <c r="R522" s="18">
        <f t="shared" si="423"/>
        <v>2613.0419715378407</v>
      </c>
      <c r="S522" s="18">
        <f t="shared" si="424"/>
        <v>1.5704136310573993</v>
      </c>
      <c r="T522" s="18" t="str">
        <f t="shared" si="413"/>
        <v>1+12.1941949742199i</v>
      </c>
      <c r="U522" s="18">
        <f t="shared" si="425"/>
        <v>12.235129385065362</v>
      </c>
      <c r="V522" s="18">
        <f t="shared" si="426"/>
        <v>1.4889731863611084</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-0.181781612726699+0.0887016436439886i</v>
      </c>
      <c r="AD522" s="66">
        <f t="shared" si="432"/>
        <v>-13.881435962390427</v>
      </c>
      <c r="AE522" s="63">
        <f t="shared" si="433"/>
        <v>153.98960550694952</v>
      </c>
      <c r="AF522" s="51" t="e">
        <f t="shared" si="434"/>
        <v>#NUM!</v>
      </c>
      <c r="AG522" s="51" t="str">
        <f t="shared" si="416"/>
        <v>1-3658.25849226597i</v>
      </c>
      <c r="AH522" s="51">
        <f t="shared" si="435"/>
        <v>3658.2586289430228</v>
      </c>
      <c r="AI522" s="51">
        <f t="shared" si="436"/>
        <v>-1.570522972690148</v>
      </c>
      <c r="AJ522" s="51" t="str">
        <f t="shared" si="417"/>
        <v>1+12.1941949742199i</v>
      </c>
      <c r="AK522" s="51">
        <f t="shared" si="437"/>
        <v>12.235129385065362</v>
      </c>
      <c r="AL522" s="51">
        <f t="shared" si="438"/>
        <v>1.4889731863611084</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-0.00106049025243484-0.00227043367747445i</v>
      </c>
      <c r="BG522" s="66">
        <f t="shared" si="454"/>
        <v>-52.020743363415136</v>
      </c>
      <c r="BH522" s="63">
        <f t="shared" si="455"/>
        <v>-115.036670833896</v>
      </c>
      <c r="BI522" s="60" t="e">
        <f t="shared" si="460"/>
        <v>#NUM!</v>
      </c>
      <c r="BJ522" s="66" t="e">
        <f t="shared" si="456"/>
        <v>#NUM!</v>
      </c>
      <c r="BK522" s="63" t="e">
        <f t="shared" si="461"/>
        <v>#NUM!</v>
      </c>
      <c r="BL522" s="51">
        <f t="shared" si="457"/>
        <v>-52.020743363415136</v>
      </c>
      <c r="BM522" s="63">
        <f t="shared" si="458"/>
        <v>-115.036670833896</v>
      </c>
    </row>
    <row r="523" spans="14:65" x14ac:dyDescent="0.3">
      <c r="N523" s="11">
        <v>5</v>
      </c>
      <c r="O523" s="52">
        <f t="shared" si="462"/>
        <v>1122018.4543019643</v>
      </c>
      <c r="P523" s="50" t="str">
        <f t="shared" si="411"/>
        <v>23.3035714285714</v>
      </c>
      <c r="Q523" s="18" t="str">
        <f t="shared" si="412"/>
        <v>1+2673.90734220522i</v>
      </c>
      <c r="R523" s="18">
        <f t="shared" si="423"/>
        <v>2673.9075291974818</v>
      </c>
      <c r="S523" s="18">
        <f t="shared" si="424"/>
        <v>1.5704223422750914</v>
      </c>
      <c r="T523" s="18" t="str">
        <f t="shared" si="413"/>
        <v>1+12.4782342636244i</v>
      </c>
      <c r="U523" s="18">
        <f t="shared" si="425"/>
        <v>12.518239905749128</v>
      </c>
      <c r="V523" s="18">
        <f t="shared" si="426"/>
        <v>1.490827686327354</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-0.179455303344903+0.0904437212449177i</v>
      </c>
      <c r="AD523" s="66">
        <f t="shared" si="432"/>
        <v>-13.937877350872164</v>
      </c>
      <c r="AE523" s="63">
        <f t="shared" si="433"/>
        <v>153.25234181159331</v>
      </c>
      <c r="AF523" s="51" t="e">
        <f t="shared" si="434"/>
        <v>#NUM!</v>
      </c>
      <c r="AG523" s="51" t="str">
        <f t="shared" si="416"/>
        <v>1-3743.47027908732i</v>
      </c>
      <c r="AH523" s="51">
        <f t="shared" si="435"/>
        <v>3743.4704126532233</v>
      </c>
      <c r="AI523" s="51">
        <f t="shared" si="436"/>
        <v>-1.5705291949889357</v>
      </c>
      <c r="AJ523" s="51" t="str">
        <f t="shared" si="417"/>
        <v>1+12.4782342636244i</v>
      </c>
      <c r="AK523" s="51">
        <f t="shared" si="437"/>
        <v>12.518239905749128</v>
      </c>
      <c r="AL523" s="51">
        <f t="shared" si="438"/>
        <v>1.490827686327354</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-0.00105877230758949-0.00219055677485242i</v>
      </c>
      <c r="BG523" s="66">
        <f t="shared" si="454"/>
        <v>-52.277122030837631</v>
      </c>
      <c r="BH523" s="63">
        <f t="shared" si="455"/>
        <v>-115.79609433746992</v>
      </c>
      <c r="BI523" s="60" t="e">
        <f t="shared" si="460"/>
        <v>#NUM!</v>
      </c>
      <c r="BJ523" s="66" t="e">
        <f t="shared" si="456"/>
        <v>#NUM!</v>
      </c>
      <c r="BK523" s="63" t="e">
        <f t="shared" si="461"/>
        <v>#NUM!</v>
      </c>
      <c r="BL523" s="51">
        <f t="shared" si="457"/>
        <v>-52.277122030837631</v>
      </c>
      <c r="BM523" s="63">
        <f t="shared" si="458"/>
        <v>-115.79609433746992</v>
      </c>
    </row>
    <row r="524" spans="14:65" x14ac:dyDescent="0.3">
      <c r="N524" s="11">
        <v>6</v>
      </c>
      <c r="O524" s="52">
        <f t="shared" si="462"/>
        <v>1148153.6214968837</v>
      </c>
      <c r="P524" s="50" t="str">
        <f t="shared" si="411"/>
        <v>23.3035714285714</v>
      </c>
      <c r="Q524" s="18" t="str">
        <f t="shared" si="412"/>
        <v>1+2736.19064528666i</v>
      </c>
      <c r="R524" s="18">
        <f t="shared" si="423"/>
        <v>2736.1908280224593</v>
      </c>
      <c r="S524" s="18">
        <f t="shared" si="424"/>
        <v>1.5704308552013146</v>
      </c>
      <c r="T524" s="18" t="str">
        <f t="shared" si="413"/>
        <v>1+12.7688896780044i</v>
      </c>
      <c r="U524" s="18">
        <f t="shared" si="425"/>
        <v>12.807987492539464</v>
      </c>
      <c r="V524" s="18">
        <f t="shared" si="426"/>
        <v>1.4926405055188137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-0.177077637432124+0.0921319392265924i</v>
      </c>
      <c r="AD524" s="66">
        <f t="shared" si="432"/>
        <v>-13.996285242025152</v>
      </c>
      <c r="AE524" s="63">
        <f t="shared" si="433"/>
        <v>152.51243594843851</v>
      </c>
      <c r="AF524" s="51" t="e">
        <f t="shared" si="434"/>
        <v>#NUM!</v>
      </c>
      <c r="AG524" s="51" t="str">
        <f t="shared" si="416"/>
        <v>1-3830.66690340134i</v>
      </c>
      <c r="AH524" s="51">
        <f t="shared" si="435"/>
        <v>3830.6670339269126</v>
      </c>
      <c r="AI524" s="51">
        <f t="shared" si="436"/>
        <v>-1.570535275650931</v>
      </c>
      <c r="AJ524" s="51" t="str">
        <f t="shared" si="417"/>
        <v>1+12.7688896780044i</v>
      </c>
      <c r="AK524" s="51">
        <f t="shared" si="437"/>
        <v>12.807987492539464</v>
      </c>
      <c r="AL524" s="51">
        <f t="shared" si="438"/>
        <v>1.4926405055188137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-0.00105591599432893-0.00211251360896712i</v>
      </c>
      <c r="BG524" s="66">
        <f t="shared" si="454"/>
        <v>-52.535470022993763</v>
      </c>
      <c r="BH524" s="63">
        <f t="shared" si="455"/>
        <v>-116.55765591354941</v>
      </c>
      <c r="BI524" s="60" t="e">
        <f t="shared" si="460"/>
        <v>#NUM!</v>
      </c>
      <c r="BJ524" s="66" t="e">
        <f t="shared" si="456"/>
        <v>#NUM!</v>
      </c>
      <c r="BK524" s="63" t="e">
        <f t="shared" si="461"/>
        <v>#NUM!</v>
      </c>
      <c r="BL524" s="51">
        <f t="shared" si="457"/>
        <v>-52.535470022993763</v>
      </c>
      <c r="BM524" s="63">
        <f t="shared" si="458"/>
        <v>-116.55765591354941</v>
      </c>
    </row>
    <row r="525" spans="14:65" x14ac:dyDescent="0.3">
      <c r="N525" s="11">
        <v>7</v>
      </c>
      <c r="O525" s="52">
        <f t="shared" si="462"/>
        <v>1174897.5549395324</v>
      </c>
      <c r="P525" s="50" t="str">
        <f t="shared" si="411"/>
        <v>23.3035714285714</v>
      </c>
      <c r="Q525" s="18" t="str">
        <f t="shared" si="412"/>
        <v>1+2799.924712866i</v>
      </c>
      <c r="R525" s="18">
        <f t="shared" si="423"/>
        <v>2799.9248914422242</v>
      </c>
      <c r="S525" s="18">
        <f t="shared" si="424"/>
        <v>1.5704391743497306</v>
      </c>
      <c r="T525" s="18" t="str">
        <f t="shared" si="413"/>
        <v>1+13.066315326708i</v>
      </c>
      <c r="U525" s="18">
        <f t="shared" si="425"/>
        <v>13.104525791380793</v>
      </c>
      <c r="V525" s="18">
        <f t="shared" si="426"/>
        <v>1.4944125574296854</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-0.174650156369998+0.0937642040151473i</v>
      </c>
      <c r="AD525" s="66">
        <f t="shared" si="432"/>
        <v>-14.056693042528998</v>
      </c>
      <c r="AE525" s="63">
        <f t="shared" si="433"/>
        <v>151.77004055663085</v>
      </c>
      <c r="AF525" s="51" t="e">
        <f t="shared" si="434"/>
        <v>#NUM!</v>
      </c>
      <c r="AG525" s="51" t="str">
        <f t="shared" si="416"/>
        <v>1-3919.89459801241i</v>
      </c>
      <c r="AH525" s="51">
        <f t="shared" si="435"/>
        <v>3919.8947255668577</v>
      </c>
      <c r="AI525" s="51">
        <f t="shared" si="436"/>
        <v>-1.5705412179001794</v>
      </c>
      <c r="AJ525" s="51" t="str">
        <f t="shared" si="417"/>
        <v>1+13.066315326708i</v>
      </c>
      <c r="AK525" s="51">
        <f t="shared" si="437"/>
        <v>13.104525791380793</v>
      </c>
      <c r="AL525" s="51">
        <f t="shared" si="438"/>
        <v>1.4944125574296854</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-0.00105196514887507-0.00203629486568175i</v>
      </c>
      <c r="BG525" s="66">
        <f t="shared" si="454"/>
        <v>-52.795820619624251</v>
      </c>
      <c r="BH525" s="63">
        <f t="shared" si="455"/>
        <v>-117.32121437601347</v>
      </c>
      <c r="BI525" s="60" t="e">
        <f t="shared" si="460"/>
        <v>#NUM!</v>
      </c>
      <c r="BJ525" s="66" t="e">
        <f t="shared" si="456"/>
        <v>#NUM!</v>
      </c>
      <c r="BK525" s="63" t="e">
        <f t="shared" si="461"/>
        <v>#NUM!</v>
      </c>
      <c r="BL525" s="51">
        <f t="shared" si="457"/>
        <v>-52.795820619624251</v>
      </c>
      <c r="BM525" s="63">
        <f t="shared" si="458"/>
        <v>-117.32121437601347</v>
      </c>
    </row>
    <row r="526" spans="14:65" x14ac:dyDescent="0.3">
      <c r="N526" s="11">
        <v>8</v>
      </c>
      <c r="O526" s="52">
        <f t="shared" si="462"/>
        <v>1202264.4346174158</v>
      </c>
      <c r="P526" s="50" t="str">
        <f t="shared" si="411"/>
        <v>23.3035714285714</v>
      </c>
      <c r="Q526" s="18" t="str">
        <f t="shared" si="412"/>
        <v>1+2865.14333758948i</v>
      </c>
      <c r="R526" s="18">
        <f t="shared" si="423"/>
        <v>2865.1435121008135</v>
      </c>
      <c r="S526" s="18">
        <f t="shared" si="424"/>
        <v>1.5704473041312572</v>
      </c>
      <c r="T526" s="18" t="str">
        <f t="shared" si="413"/>
        <v>1+13.3706689087509i</v>
      </c>
      <c r="U526" s="18">
        <f t="shared" si="425"/>
        <v>13.408012047557163</v>
      </c>
      <c r="V526" s="18">
        <f t="shared" si="426"/>
        <v>1.4961447370841474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-0.172174541384+0.0953384613456641i</v>
      </c>
      <c r="AD526" s="66">
        <f t="shared" si="432"/>
        <v>-14.119133149747594</v>
      </c>
      <c r="AE526" s="63">
        <f t="shared" si="433"/>
        <v>151.0253211336057</v>
      </c>
      <c r="AF526" s="51" t="e">
        <f t="shared" si="434"/>
        <v>#NUM!</v>
      </c>
      <c r="AG526" s="51" t="str">
        <f t="shared" si="416"/>
        <v>1-4011.20067262528i</v>
      </c>
      <c r="AH526" s="51">
        <f t="shared" si="435"/>
        <v>4011.200797276234</v>
      </c>
      <c r="AI526" s="51">
        <f t="shared" si="436"/>
        <v>-1.5705470248873388</v>
      </c>
      <c r="AJ526" s="51" t="str">
        <f t="shared" si="417"/>
        <v>1+13.3706689087509i</v>
      </c>
      <c r="AK526" s="51">
        <f t="shared" si="437"/>
        <v>13.408012047557163</v>
      </c>
      <c r="AL526" s="51">
        <f t="shared" si="438"/>
        <v>1.4961447370841474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-0.00104696339761491-0.00196189111385701i</v>
      </c>
      <c r="BG526" s="66">
        <f t="shared" si="454"/>
        <v>-53.058206096860452</v>
      </c>
      <c r="BH526" s="63">
        <f t="shared" si="455"/>
        <v>-118.08661542118772</v>
      </c>
      <c r="BI526" s="60" t="e">
        <f t="shared" si="460"/>
        <v>#NUM!</v>
      </c>
      <c r="BJ526" s="66" t="e">
        <f t="shared" si="456"/>
        <v>#NUM!</v>
      </c>
      <c r="BK526" s="63" t="e">
        <f t="shared" si="461"/>
        <v>#NUM!</v>
      </c>
      <c r="BL526" s="51">
        <f t="shared" si="457"/>
        <v>-53.058206096860452</v>
      </c>
      <c r="BM526" s="63">
        <f t="shared" si="458"/>
        <v>-118.08661542118772</v>
      </c>
    </row>
    <row r="527" spans="14:65" x14ac:dyDescent="0.3">
      <c r="N527" s="11">
        <v>9</v>
      </c>
      <c r="O527" s="52">
        <f t="shared" si="462"/>
        <v>1230268.770812382</v>
      </c>
      <c r="P527" s="50" t="str">
        <f t="shared" si="411"/>
        <v>23.3035714285714</v>
      </c>
      <c r="Q527" s="18" t="str">
        <f t="shared" si="412"/>
        <v>1+2931.8810992352i</v>
      </c>
      <c r="R527" s="18">
        <f t="shared" si="423"/>
        <v>2931.881269774171</v>
      </c>
      <c r="S527" s="18">
        <f t="shared" si="424"/>
        <v>1.5704552488564076</v>
      </c>
      <c r="T527" s="18" t="str">
        <f t="shared" si="413"/>
        <v>1+13.682111796431i</v>
      </c>
      <c r="U527" s="18">
        <f t="shared" si="425"/>
        <v>13.718607189144105</v>
      </c>
      <c r="V527" s="18">
        <f t="shared" si="426"/>
        <v>1.497837921305021</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-0.169652613141158+0.0968527070082244i</v>
      </c>
      <c r="AD527" s="66">
        <f t="shared" si="432"/>
        <v>-14.183636834145455</v>
      </c>
      <c r="AE527" s="63">
        <f t="shared" si="433"/>
        <v>150.27845580067236</v>
      </c>
      <c r="AF527" s="51" t="e">
        <f t="shared" si="434"/>
        <v>#NUM!</v>
      </c>
      <c r="AG527" s="51" t="str">
        <f t="shared" si="416"/>
        <v>1-4104.63353892929i</v>
      </c>
      <c r="AH527" s="51">
        <f t="shared" si="435"/>
        <v>4104.6336607428429</v>
      </c>
      <c r="AI527" s="51">
        <f t="shared" si="436"/>
        <v>-1.5705526996913486</v>
      </c>
      <c r="AJ527" s="51" t="str">
        <f t="shared" si="417"/>
        <v>1+13.682111796431i</v>
      </c>
      <c r="AK527" s="51">
        <f t="shared" si="437"/>
        <v>13.718607189144105</v>
      </c>
      <c r="AL527" s="51">
        <f t="shared" si="438"/>
        <v>1.497837921305021</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-0.00104095420359039-0.00188929274026639i</v>
      </c>
      <c r="BG527" s="66">
        <f t="shared" si="454"/>
        <v>-53.322657609385146</v>
      </c>
      <c r="BH527" s="63">
        <f t="shared" si="455"/>
        <v>-118.85369186806683</v>
      </c>
      <c r="BI527" s="60" t="e">
        <f t="shared" si="460"/>
        <v>#NUM!</v>
      </c>
      <c r="BJ527" s="66" t="e">
        <f t="shared" si="456"/>
        <v>#NUM!</v>
      </c>
      <c r="BK527" s="63" t="e">
        <f t="shared" si="461"/>
        <v>#NUM!</v>
      </c>
      <c r="BL527" s="51">
        <f t="shared" si="457"/>
        <v>-53.322657609385146</v>
      </c>
      <c r="BM527" s="63">
        <f t="shared" si="458"/>
        <v>-118.85369186806683</v>
      </c>
    </row>
    <row r="528" spans="14:65" x14ac:dyDescent="0.3">
      <c r="N528" s="11">
        <v>10</v>
      </c>
      <c r="O528" s="52">
        <f t="shared" si="462"/>
        <v>1258925.4117941677</v>
      </c>
      <c r="P528" s="50" t="str">
        <f t="shared" si="411"/>
        <v>23.3035714285714</v>
      </c>
      <c r="Q528" s="18" t="str">
        <f t="shared" si="412"/>
        <v>1+3000.17338304777i</v>
      </c>
      <c r="R528" s="18">
        <f t="shared" si="423"/>
        <v>3000.1735497048007</v>
      </c>
      <c r="S528" s="18">
        <f t="shared" si="424"/>
        <v>1.5704630127375765</v>
      </c>
      <c r="T528" s="18" t="str">
        <f t="shared" si="413"/>
        <v>1+14.0008091208896i</v>
      </c>
      <c r="U528" s="18">
        <f t="shared" si="425"/>
        <v>14.036475912407125</v>
      </c>
      <c r="V528" s="18">
        <f t="shared" si="426"/>
        <v>1.4994929689860887</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-0.167086330410088+0.0983049977469876i</v>
      </c>
      <c r="AD528" s="66">
        <f t="shared" si="432"/>
        <v>-14.250234122616074</v>
      </c>
      <c r="AE528" s="63">
        <f t="shared" si="433"/>
        <v>149.52963501045809</v>
      </c>
      <c r="AF528" s="51" t="e">
        <f t="shared" si="434"/>
        <v>#NUM!</v>
      </c>
      <c r="AG528" s="51" t="str">
        <f t="shared" si="416"/>
        <v>1-4200.24273626689i</v>
      </c>
      <c r="AH528" s="51">
        <f t="shared" si="435"/>
        <v>4200.242855307627</v>
      </c>
      <c r="AI528" s="51">
        <f t="shared" si="436"/>
        <v>-1.5705582453210638</v>
      </c>
      <c r="AJ528" s="51" t="str">
        <f t="shared" si="417"/>
        <v>1+14.0008091208896i</v>
      </c>
      <c r="AK528" s="51">
        <f t="shared" si="437"/>
        <v>14.036475912407125</v>
      </c>
      <c r="AL528" s="51">
        <f t="shared" si="438"/>
        <v>1.4994929689860887</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-0.00103398090412583-0.00181848988148477i</v>
      </c>
      <c r="BG528" s="66">
        <f t="shared" si="454"/>
        <v>-53.58920507351543</v>
      </c>
      <c r="BH528" s="63">
        <f t="shared" si="455"/>
        <v>-119.62226395655068</v>
      </c>
      <c r="BI528" s="60" t="e">
        <f t="shared" si="460"/>
        <v>#NUM!</v>
      </c>
      <c r="BJ528" s="66" t="e">
        <f t="shared" si="456"/>
        <v>#NUM!</v>
      </c>
      <c r="BK528" s="63" t="e">
        <f t="shared" si="461"/>
        <v>#NUM!</v>
      </c>
      <c r="BL528" s="51">
        <f t="shared" si="457"/>
        <v>-53.58920507351543</v>
      </c>
      <c r="BM528" s="63">
        <f t="shared" si="458"/>
        <v>-119.62226395655068</v>
      </c>
    </row>
    <row r="529" spans="14:65" x14ac:dyDescent="0.3">
      <c r="N529" s="11">
        <v>11</v>
      </c>
      <c r="O529" s="52">
        <f t="shared" si="462"/>
        <v>1288249.5516931366</v>
      </c>
      <c r="P529" s="50" t="str">
        <f t="shared" si="411"/>
        <v>23.3035714285714</v>
      </c>
      <c r="Q529" s="18" t="str">
        <f t="shared" si="412"/>
        <v>1+3070.05639850004i</v>
      </c>
      <c r="R529" s="18">
        <f t="shared" si="423"/>
        <v>3070.0565613634935</v>
      </c>
      <c r="S529" s="18">
        <f t="shared" si="424"/>
        <v>1.5704705998912727</v>
      </c>
      <c r="T529" s="18" t="str">
        <f t="shared" si="413"/>
        <v>1+14.3269298596668i</v>
      </c>
      <c r="U529" s="18">
        <f t="shared" si="425"/>
        <v>14.361786769194568</v>
      </c>
      <c r="V529" s="18">
        <f t="shared" si="426"/>
        <v>1.5011107213673744</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-0.16447778775177+0.0996934622215513i</v>
      </c>
      <c r="AD529" s="66">
        <f t="shared" si="432"/>
        <v>-14.318953683466255</v>
      </c>
      <c r="AE529" s="63">
        <f t="shared" si="433"/>
        <v>148.77906119586959</v>
      </c>
      <c r="AF529" s="51" t="e">
        <f t="shared" si="434"/>
        <v>#NUM!</v>
      </c>
      <c r="AG529" s="51" t="str">
        <f t="shared" si="416"/>
        <v>1-4298.07895790006i</v>
      </c>
      <c r="AH529" s="51">
        <f t="shared" si="435"/>
        <v>4298.0790742310992</v>
      </c>
      <c r="AI529" s="51">
        <f t="shared" si="436"/>
        <v>-1.5705636647168495</v>
      </c>
      <c r="AJ529" s="51" t="str">
        <f t="shared" si="417"/>
        <v>1+14.3269298596668i</v>
      </c>
      <c r="AK529" s="51">
        <f t="shared" si="437"/>
        <v>14.361786769194568</v>
      </c>
      <c r="AL529" s="51">
        <f t="shared" si="438"/>
        <v>1.5011107213673744</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-0.00102608673934912-0.00174947235357483i</v>
      </c>
      <c r="BG529" s="66">
        <f t="shared" si="454"/>
        <v>-53.857877051953373</v>
      </c>
      <c r="BH529" s="63">
        <f t="shared" si="455"/>
        <v>-120.39213970403779</v>
      </c>
      <c r="BI529" s="60" t="e">
        <f t="shared" si="460"/>
        <v>#NUM!</v>
      </c>
      <c r="BJ529" s="66" t="e">
        <f t="shared" si="456"/>
        <v>#NUM!</v>
      </c>
      <c r="BK529" s="63" t="e">
        <f t="shared" si="461"/>
        <v>#NUM!</v>
      </c>
      <c r="BL529" s="51">
        <f t="shared" si="457"/>
        <v>-53.857877051953373</v>
      </c>
      <c r="BM529" s="63">
        <f t="shared" si="458"/>
        <v>-120.39213970403779</v>
      </c>
    </row>
    <row r="530" spans="14:65" x14ac:dyDescent="0.3">
      <c r="N530" s="11">
        <v>12</v>
      </c>
      <c r="O530" s="52">
        <f t="shared" si="462"/>
        <v>1318256.7385564097</v>
      </c>
      <c r="P530" s="50" t="str">
        <f t="shared" si="411"/>
        <v>23.3035714285714</v>
      </c>
      <c r="Q530" s="18" t="str">
        <f t="shared" si="412"/>
        <v>1+3141.56719849178i</v>
      </c>
      <c r="R530" s="18">
        <f t="shared" si="423"/>
        <v>3141.5673576480085</v>
      </c>
      <c r="S530" s="18">
        <f t="shared" si="424"/>
        <v>1.5704780143403021</v>
      </c>
      <c r="T530" s="18" t="str">
        <f t="shared" si="413"/>
        <v>1+14.660646926295i</v>
      </c>
      <c r="U530" s="18">
        <f t="shared" si="425"/>
        <v>14.694712256369058</v>
      </c>
      <c r="V530" s="18">
        <f t="shared" si="426"/>
        <v>1.5026920023127366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-0.161829212219086+0.101016311934529i</v>
      </c>
      <c r="AD530" s="66">
        <f t="shared" si="432"/>
        <v>-14.389822713822102</v>
      </c>
      <c r="AE530" s="63">
        <f t="shared" si="433"/>
        <v>148.02694836069242</v>
      </c>
      <c r="AF530" s="51" t="e">
        <f t="shared" si="434"/>
        <v>#NUM!</v>
      </c>
      <c r="AG530" s="51" t="str">
        <f t="shared" si="416"/>
        <v>1-4398.1940778885i</v>
      </c>
      <c r="AH530" s="51">
        <f t="shared" si="435"/>
        <v>4398.1941915715215</v>
      </c>
      <c r="AI530" s="51">
        <f t="shared" si="436"/>
        <v>-1.5705689607521394</v>
      </c>
      <c r="AJ530" s="51" t="str">
        <f t="shared" si="417"/>
        <v>1+14.660646926295i</v>
      </c>
      <c r="AK530" s="51">
        <f t="shared" si="437"/>
        <v>14.694712256369058</v>
      </c>
      <c r="AL530" s="51">
        <f t="shared" si="438"/>
        <v>1.5026920023127366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-0.00101731487144351-0.0016822295804332i</v>
      </c>
      <c r="BG530" s="66">
        <f t="shared" si="454"/>
        <v>-54.128700640968965</v>
      </c>
      <c r="BH530" s="63">
        <f t="shared" si="455"/>
        <v>-121.16311532026253</v>
      </c>
      <c r="BI530" s="60" t="e">
        <f t="shared" si="460"/>
        <v>#NUM!</v>
      </c>
      <c r="BJ530" s="66" t="e">
        <f t="shared" si="456"/>
        <v>#NUM!</v>
      </c>
      <c r="BK530" s="63" t="e">
        <f t="shared" si="461"/>
        <v>#NUM!</v>
      </c>
      <c r="BL530" s="51">
        <f t="shared" si="457"/>
        <v>-54.128700640968965</v>
      </c>
      <c r="BM530" s="63">
        <f t="shared" si="458"/>
        <v>-121.16311532026253</v>
      </c>
    </row>
    <row r="531" spans="14:65" x14ac:dyDescent="0.3">
      <c r="N531" s="11">
        <v>13</v>
      </c>
      <c r="O531" s="52">
        <f t="shared" si="462"/>
        <v>1348962.8825916562</v>
      </c>
      <c r="P531" s="50" t="str">
        <f t="shared" ref="P531:P560" si="463">COMPLEX(Adc,0)</f>
        <v>23.3035714285714</v>
      </c>
      <c r="Q531" s="18" t="str">
        <f t="shared" ref="Q531:Q560" si="464">IMSUM(COMPLEX(1,0),IMDIV(COMPLEX(0,2*PI()*O531),COMPLEX(wp_lf,0)))</f>
        <v>1+3214.74369899572i</v>
      </c>
      <c r="R531" s="18">
        <f t="shared" si="423"/>
        <v>3214.7438545291111</v>
      </c>
      <c r="S531" s="18">
        <f t="shared" si="424"/>
        <v>1.5704852600159001</v>
      </c>
      <c r="T531" s="18" t="str">
        <f t="shared" ref="T531:T560" si="465">IMSUM(COMPLEX(1,0),IMDIV(COMPLEX(0,2*PI()*O531),COMPLEX(wz_esr,0)))</f>
        <v>1+15.00213726198i</v>
      </c>
      <c r="U531" s="18">
        <f t="shared" si="425"/>
        <v>15.035428907327145</v>
      </c>
      <c r="V531" s="18">
        <f t="shared" si="426"/>
        <v>1.504237618589181</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-0.15914295905372+0.102271852025088i</v>
      </c>
      <c r="AD531" s="66">
        <f t="shared" si="432"/>
        <v>-14.46286683023194</v>
      </c>
      <c r="AE531" s="63">
        <f t="shared" si="433"/>
        <v>147.2735216124475</v>
      </c>
      <c r="AF531" s="51" t="e">
        <f t="shared" si="434"/>
        <v>#NUM!</v>
      </c>
      <c r="AG531" s="51" t="str">
        <f t="shared" ref="AG531:AG560" si="468">IMSUM(COMPLEX(1,0),IMDIV(COMPLEX(0,2*PI()*O531),COMPLEX(wp_lf_DCM,0)))</f>
        <v>1-4500.64117859401i</v>
      </c>
      <c r="AH531" s="51">
        <f t="shared" si="435"/>
        <v>4500.6412896892907</v>
      </c>
      <c r="AI531" s="51">
        <f t="shared" si="436"/>
        <v>-1.5705741362349603</v>
      </c>
      <c r="AJ531" s="51" t="str">
        <f t="shared" ref="AJ531:AJ560" si="469">IMSUM(COMPLEX(1,0),IMDIV(COMPLEX(0,2*PI()*O531),COMPLEX(wz1_dcm,0)))</f>
        <v>1+15.00213726198i</v>
      </c>
      <c r="AK531" s="51">
        <f t="shared" si="437"/>
        <v>15.035428907327145</v>
      </c>
      <c r="AL531" s="51">
        <f t="shared" si="438"/>
        <v>1.504237618589181</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-0.00100770839455338-0.00161675052168756i</v>
      </c>
      <c r="BG531" s="66">
        <f t="shared" si="454"/>
        <v>-54.401701360789446</v>
      </c>
      <c r="BH531" s="63">
        <f t="shared" si="455"/>
        <v>-121.93497567975591</v>
      </c>
      <c r="BI531" s="60" t="e">
        <f t="shared" si="460"/>
        <v>#NUM!</v>
      </c>
      <c r="BJ531" s="66" t="e">
        <f t="shared" si="456"/>
        <v>#NUM!</v>
      </c>
      <c r="BK531" s="63" t="e">
        <f t="shared" si="461"/>
        <v>#NUM!</v>
      </c>
      <c r="BL531" s="51">
        <f t="shared" si="457"/>
        <v>-54.401701360789446</v>
      </c>
      <c r="BM531" s="63">
        <f t="shared" si="458"/>
        <v>-121.93497567975591</v>
      </c>
    </row>
    <row r="532" spans="14:65" x14ac:dyDescent="0.3">
      <c r="N532" s="11">
        <v>14</v>
      </c>
      <c r="O532" s="52">
        <f t="shared" si="462"/>
        <v>1380384.2646028849</v>
      </c>
      <c r="P532" s="50" t="str">
        <f t="shared" si="463"/>
        <v>23.3035714285714</v>
      </c>
      <c r="Q532" s="18" t="str">
        <f t="shared" si="464"/>
        <v>1+3289.62469916102i</v>
      </c>
      <c r="R532" s="18">
        <f t="shared" ref="R532:R560" si="475">IMABS(Q532)</f>
        <v>3289.6248511540389</v>
      </c>
      <c r="S532" s="18">
        <f t="shared" ref="S532:S560" si="476">IMARGUMENT(Q532)</f>
        <v>1.570492340759817</v>
      </c>
      <c r="T532" s="18" t="str">
        <f t="shared" si="465"/>
        <v>1+15.3515819294181i</v>
      </c>
      <c r="U532" s="18">
        <f t="shared" ref="U532:U560" si="477">IMABS(T532)</f>
        <v>15.384117385655777</v>
      </c>
      <c r="V532" s="18">
        <f t="shared" ref="V532:V560" si="478">IMARGUMENT(T532)</f>
        <v>1.5057483601473516</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-0.156421506380269+0.10345849182527i</v>
      </c>
      <c r="AD532" s="66">
        <f t="shared" ref="AD532:AD560" si="484">20*LOG(IMABS(AC532))</f>
        <v>-14.538109963245912</v>
      </c>
      <c r="AE532" s="63">
        <f t="shared" ref="AE532:AE560" si="485">(180/PI())*IMARGUMENT(AC532)</f>
        <v>146.51901663862984</v>
      </c>
      <c r="AF532" s="51" t="e">
        <f t="shared" ref="AF532:AF560" si="486">COMPLEX($B$68,0)</f>
        <v>#NUM!</v>
      </c>
      <c r="AG532" s="51" t="str">
        <f t="shared" si="468"/>
        <v>1-4605.47457882544i</v>
      </c>
      <c r="AH532" s="51">
        <f t="shared" ref="AH532:AH560" si="487">IMABS(AG532)</f>
        <v>4605.4746873918839</v>
      </c>
      <c r="AI532" s="51">
        <f t="shared" ref="AI532:AI560" si="488">IMARGUMENT(AG532)</f>
        <v>-1.5705791939094211</v>
      </c>
      <c r="AJ532" s="51" t="str">
        <f t="shared" si="469"/>
        <v>1+15.3515819294181i</v>
      </c>
      <c r="AK532" s="51">
        <f t="shared" ref="AK532:AK560" si="489">IMABS(AJ532)</f>
        <v>15.384117385655777</v>
      </c>
      <c r="AL532" s="51">
        <f t="shared" ref="AL532:AL560" si="490">IMARGUMENT(AJ532)</f>
        <v>1.5057483601473516</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-0.000997310335359525-0.00155302360105375i</v>
      </c>
      <c r="BG532" s="66">
        <f t="shared" ref="BG532:BG560" si="506">20*LOG(IMABS(BF532))</f>
        <v>-54.676903049975252</v>
      </c>
      <c r="BH532" s="63">
        <f t="shared" ref="BH532:BH560" si="507">(180/PI())*IMARGUMENT(BF532)</f>
        <v>-122.70749485080664</v>
      </c>
      <c r="BI532" s="60" t="e">
        <f t="shared" si="460"/>
        <v>#NUM!</v>
      </c>
      <c r="BJ532" s="66" t="e">
        <f t="shared" ref="BJ532:BJ560" si="508">20*LOG(IMABS(BI532))</f>
        <v>#NUM!</v>
      </c>
      <c r="BK532" s="63" t="e">
        <f t="shared" si="461"/>
        <v>#NUM!</v>
      </c>
      <c r="BL532" s="51">
        <f t="shared" ref="BL532:BL560" si="509">IF($B$31=0,BJ532,BG532)</f>
        <v>-54.676903049975252</v>
      </c>
      <c r="BM532" s="63">
        <f t="shared" ref="BM532:BM560" si="510">IF($B$31=0,BK532,BH532)</f>
        <v>-122.70749485080664</v>
      </c>
    </row>
    <row r="533" spans="14:65" x14ac:dyDescent="0.3">
      <c r="N533" s="11">
        <v>15</v>
      </c>
      <c r="O533" s="52">
        <f t="shared" si="462"/>
        <v>1412537.5446227565</v>
      </c>
      <c r="P533" s="50" t="str">
        <f t="shared" si="463"/>
        <v>23.3035714285714</v>
      </c>
      <c r="Q533" s="18" t="str">
        <f t="shared" si="464"/>
        <v>1+3366.24990188516i</v>
      </c>
      <c r="R533" s="18">
        <f t="shared" si="475"/>
        <v>3366.2500504183949</v>
      </c>
      <c r="S533" s="18">
        <f t="shared" si="476"/>
        <v>1.5704992603263543</v>
      </c>
      <c r="T533" s="18" t="str">
        <f t="shared" si="465"/>
        <v>1+15.7091662087974i</v>
      </c>
      <c r="U533" s="18">
        <f t="shared" si="477"/>
        <v>15.74096258097395</v>
      </c>
      <c r="V533" s="18">
        <f t="shared" si="478"/>
        <v>1.5072250004026793</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-0.153667448909223+0.104574755074345i</v>
      </c>
      <c r="AD533" s="66">
        <f t="shared" si="484"/>
        <v>-14.615574256748893</v>
      </c>
      <c r="AE533" s="63">
        <f t="shared" si="485"/>
        <v>145.76367912798565</v>
      </c>
      <c r="AF533" s="51" t="e">
        <f t="shared" si="486"/>
        <v>#NUM!</v>
      </c>
      <c r="AG533" s="51" t="str">
        <f t="shared" si="468"/>
        <v>1-4712.74986263924i</v>
      </c>
      <c r="AH533" s="51">
        <f t="shared" si="487"/>
        <v>4712.7499687344098</v>
      </c>
      <c r="AI533" s="51">
        <f t="shared" si="488"/>
        <v>-1.5705841364571664</v>
      </c>
      <c r="AJ533" s="51" t="str">
        <f t="shared" si="469"/>
        <v>1+15.7091662087974i</v>
      </c>
      <c r="AK533" s="51">
        <f t="shared" si="489"/>
        <v>15.74096258097395</v>
      </c>
      <c r="AL533" s="51">
        <f t="shared" si="490"/>
        <v>1.5072250004026793</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-0.000986163644435477-0.00149103663606938i</v>
      </c>
      <c r="BG533" s="66">
        <f t="shared" si="506"/>
        <v>-54.954327764558414</v>
      </c>
      <c r="BH533" s="63">
        <f t="shared" si="507"/>
        <v>-123.48043667927249</v>
      </c>
      <c r="BI533" s="60" t="e">
        <f t="shared" si="460"/>
        <v>#NUM!</v>
      </c>
      <c r="BJ533" s="66" t="e">
        <f t="shared" si="508"/>
        <v>#NUM!</v>
      </c>
      <c r="BK533" s="63" t="e">
        <f t="shared" si="461"/>
        <v>#NUM!</v>
      </c>
      <c r="BL533" s="51">
        <f t="shared" si="509"/>
        <v>-54.954327764558414</v>
      </c>
      <c r="BM533" s="63">
        <f t="shared" si="510"/>
        <v>-123.48043667927249</v>
      </c>
    </row>
    <row r="534" spans="14:65" x14ac:dyDescent="0.3">
      <c r="N534" s="11">
        <v>16</v>
      </c>
      <c r="O534" s="52">
        <f t="shared" si="462"/>
        <v>1445439.7707459298</v>
      </c>
      <c r="P534" s="50" t="str">
        <f t="shared" si="463"/>
        <v>23.3035714285714</v>
      </c>
      <c r="Q534" s="18" t="str">
        <f t="shared" si="464"/>
        <v>1+3444.65993486486i</v>
      </c>
      <c r="R534" s="18">
        <f t="shared" si="475"/>
        <v>3444.6600800170663</v>
      </c>
      <c r="S534" s="18">
        <f t="shared" si="476"/>
        <v>1.5705060223843548</v>
      </c>
      <c r="T534" s="18" t="str">
        <f t="shared" si="465"/>
        <v>1+16.075079696036i</v>
      </c>
      <c r="U534" s="18">
        <f t="shared" si="477"/>
        <v>16.106153707012389</v>
      </c>
      <c r="V534" s="18">
        <f t="shared" si="478"/>
        <v>1.5086682965167397</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-0.150883490672761+0.105619289686535i</v>
      </c>
      <c r="AD534" s="66">
        <f t="shared" si="484"/>
        <v>-14.695279972804068</v>
      </c>
      <c r="AE534" s="63">
        <f t="shared" si="485"/>
        <v>145.00776413899595</v>
      </c>
      <c r="AF534" s="51" t="e">
        <f t="shared" si="486"/>
        <v>#NUM!</v>
      </c>
      <c r="AG534" s="51" t="str">
        <f t="shared" si="468"/>
        <v>1-4822.52390881082i</v>
      </c>
      <c r="AH534" s="51">
        <f t="shared" si="487"/>
        <v>4822.5240124909678</v>
      </c>
      <c r="AI534" s="51">
        <f t="shared" si="488"/>
        <v>-1.5705889664987993</v>
      </c>
      <c r="AJ534" s="51" t="str">
        <f t="shared" si="469"/>
        <v>1+16.075079696036i</v>
      </c>
      <c r="AK534" s="51">
        <f t="shared" si="489"/>
        <v>16.106153707012389</v>
      </c>
      <c r="AL534" s="51">
        <f t="shared" si="490"/>
        <v>1.5086682965167397</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-0.000974311178596104-0.00143077677011704i</v>
      </c>
      <c r="BG534" s="66">
        <f t="shared" si="506"/>
        <v>-55.233995682699913</v>
      </c>
      <c r="BH534" s="63">
        <f t="shared" si="507"/>
        <v>-124.25355542507059</v>
      </c>
      <c r="BI534" s="60" t="e">
        <f t="shared" si="460"/>
        <v>#NUM!</v>
      </c>
      <c r="BJ534" s="66" t="e">
        <f t="shared" si="508"/>
        <v>#NUM!</v>
      </c>
      <c r="BK534" s="63" t="e">
        <f t="shared" si="461"/>
        <v>#NUM!</v>
      </c>
      <c r="BL534" s="51">
        <f t="shared" si="509"/>
        <v>-55.233995682699913</v>
      </c>
      <c r="BM534" s="63">
        <f t="shared" si="510"/>
        <v>-124.25355542507059</v>
      </c>
    </row>
    <row r="535" spans="14:65" x14ac:dyDescent="0.3">
      <c r="N535" s="11">
        <v>17</v>
      </c>
      <c r="O535" s="52">
        <f t="shared" si="462"/>
        <v>1479108.3881682095</v>
      </c>
      <c r="P535" s="50" t="str">
        <f t="shared" si="463"/>
        <v>23.3035714285714</v>
      </c>
      <c r="Q535" s="18" t="str">
        <f t="shared" si="464"/>
        <v>1+3524.89637213749i</v>
      </c>
      <c r="R535" s="18">
        <f t="shared" si="475"/>
        <v>3524.8965139856282</v>
      </c>
      <c r="S535" s="18">
        <f t="shared" si="476"/>
        <v>1.5705126305191488</v>
      </c>
      <c r="T535" s="18" t="str">
        <f t="shared" si="465"/>
        <v>1+16.4495164033083i</v>
      </c>
      <c r="U535" s="18">
        <f t="shared" si="477"/>
        <v>16.479884401982581</v>
      </c>
      <c r="V535" s="18">
        <f t="shared" si="478"/>
        <v>1.5100789896783862</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-0.148072436829632+0.106590876968885i</v>
      </c>
      <c r="AD535" s="66">
        <f t="shared" si="484"/>
        <v>-14.77724540274613</v>
      </c>
      <c r="AE535" s="63">
        <f t="shared" si="485"/>
        <v>144.25153541828246</v>
      </c>
      <c r="AF535" s="51" t="e">
        <f t="shared" si="486"/>
        <v>#NUM!</v>
      </c>
      <c r="AG535" s="51" t="str">
        <f t="shared" si="468"/>
        <v>1-4934.8549209925i</v>
      </c>
      <c r="AH535" s="51">
        <f t="shared" si="487"/>
        <v>4934.8550223126003</v>
      </c>
      <c r="AI535" s="51">
        <f t="shared" si="488"/>
        <v>-1.5705936865952712</v>
      </c>
      <c r="AJ535" s="51" t="str">
        <f t="shared" si="469"/>
        <v>1+16.4495164033083i</v>
      </c>
      <c r="AK535" s="51">
        <f t="shared" si="489"/>
        <v>16.479884401982581</v>
      </c>
      <c r="AL535" s="51">
        <f t="shared" si="490"/>
        <v>1.5100789896783862</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-0.000961795674548305-0.00137223040763223i</v>
      </c>
      <c r="BG535" s="66">
        <f t="shared" si="506"/>
        <v>-55.515925015605916</v>
      </c>
      <c r="BH535" s="63">
        <f t="shared" si="507"/>
        <v>-125.02659644863874</v>
      </c>
      <c r="BI535" s="60" t="e">
        <f t="shared" si="460"/>
        <v>#NUM!</v>
      </c>
      <c r="BJ535" s="66" t="e">
        <f t="shared" si="508"/>
        <v>#NUM!</v>
      </c>
      <c r="BK535" s="63" t="e">
        <f t="shared" si="461"/>
        <v>#NUM!</v>
      </c>
      <c r="BL535" s="51">
        <f t="shared" si="509"/>
        <v>-55.515925015605916</v>
      </c>
      <c r="BM535" s="63">
        <f t="shared" si="510"/>
        <v>-125.02659644863874</v>
      </c>
    </row>
    <row r="536" spans="14:65" x14ac:dyDescent="0.3">
      <c r="N536" s="11">
        <v>18</v>
      </c>
      <c r="O536" s="52">
        <f t="shared" si="462"/>
        <v>1513561.2484362102</v>
      </c>
      <c r="P536" s="50" t="str">
        <f t="shared" si="463"/>
        <v>23.3035714285714</v>
      </c>
      <c r="Q536" s="18" t="str">
        <f t="shared" si="464"/>
        <v>1+3607.00175612415i</v>
      </c>
      <c r="R536" s="18">
        <f t="shared" si="475"/>
        <v>3607.001894743431</v>
      </c>
      <c r="S536" s="18">
        <f t="shared" si="476"/>
        <v>1.5705190882344546</v>
      </c>
      <c r="T536" s="18" t="str">
        <f t="shared" si="465"/>
        <v>1+16.8326748619127i</v>
      </c>
      <c r="U536" s="18">
        <f t="shared" si="477"/>
        <v>16.862352831288632</v>
      </c>
      <c r="V536" s="18">
        <f t="shared" si="478"/>
        <v>1.5114578053842684</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-0.145237184587768+0.107488440189399i</v>
      </c>
      <c r="AD536" s="66">
        <f t="shared" si="484"/>
        <v>-14.861486785224528</v>
      </c>
      <c r="AE536" s="63">
        <f t="shared" si="485"/>
        <v>143.49526467213835</v>
      </c>
      <c r="AF536" s="51" t="e">
        <f t="shared" si="486"/>
        <v>#NUM!</v>
      </c>
      <c r="AG536" s="51" t="str">
        <f t="shared" si="468"/>
        <v>1-5049.80245857382i</v>
      </c>
      <c r="AH536" s="51">
        <f t="shared" si="487"/>
        <v>5049.8025575875936</v>
      </c>
      <c r="AI536" s="51">
        <f t="shared" si="488"/>
        <v>-1.5705982992492387</v>
      </c>
      <c r="AJ536" s="51" t="str">
        <f t="shared" si="469"/>
        <v>1+16.8326748619127i</v>
      </c>
      <c r="AK536" s="51">
        <f t="shared" si="489"/>
        <v>16.862352831288632</v>
      </c>
      <c r="AL536" s="51">
        <f t="shared" si="490"/>
        <v>1.5114578053842684</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-0.000948659714254138-0.00131538315336295i</v>
      </c>
      <c r="BG536" s="66">
        <f t="shared" si="506"/>
        <v>-55.800131925400855</v>
      </c>
      <c r="BH536" s="63">
        <f t="shared" si="507"/>
        <v>-125.79929694416326</v>
      </c>
      <c r="BI536" s="60" t="e">
        <f t="shared" si="460"/>
        <v>#NUM!</v>
      </c>
      <c r="BJ536" s="66" t="e">
        <f t="shared" si="508"/>
        <v>#NUM!</v>
      </c>
      <c r="BK536" s="63" t="e">
        <f t="shared" si="461"/>
        <v>#NUM!</v>
      </c>
      <c r="BL536" s="51">
        <f t="shared" si="509"/>
        <v>-55.800131925400855</v>
      </c>
      <c r="BM536" s="63">
        <f t="shared" si="510"/>
        <v>-125.79929694416326</v>
      </c>
    </row>
    <row r="537" spans="14:65" x14ac:dyDescent="0.3">
      <c r="N537" s="11">
        <v>19</v>
      </c>
      <c r="O537" s="52">
        <f t="shared" si="462"/>
        <v>1548816.6189124861</v>
      </c>
      <c r="P537" s="50" t="str">
        <f t="shared" si="463"/>
        <v>23.3035714285714</v>
      </c>
      <c r="Q537" s="18" t="str">
        <f t="shared" si="464"/>
        <v>1+3691.01962018622i</v>
      </c>
      <c r="R537" s="18">
        <f t="shared" si="475"/>
        <v>3691.0197556501412</v>
      </c>
      <c r="S537" s="18">
        <f t="shared" si="476"/>
        <v>1.570525398954236</v>
      </c>
      <c r="T537" s="18" t="str">
        <f t="shared" si="465"/>
        <v>1+17.2247582275357i</v>
      </c>
      <c r="U537" s="18">
        <f t="shared" si="477"/>
        <v>17.253761792636954</v>
      </c>
      <c r="V537" s="18">
        <f t="shared" si="478"/>
        <v>1.5128054537183833</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-0.142380713305281+0.108311052400315i</v>
      </c>
      <c r="AD537" s="66">
        <f t="shared" si="484"/>
        <v>-14.948018231857294</v>
      </c>
      <c r="AE537" s="63">
        <f t="shared" si="485"/>
        <v>142.7392307948991</v>
      </c>
      <c r="AF537" s="51" t="e">
        <f t="shared" si="486"/>
        <v>#NUM!</v>
      </c>
      <c r="AG537" s="51" t="str">
        <f t="shared" si="468"/>
        <v>1-5167.42746826072i</v>
      </c>
      <c r="AH537" s="51">
        <f t="shared" si="487"/>
        <v>5167.4275650206655</v>
      </c>
      <c r="AI537" s="51">
        <f t="shared" si="488"/>
        <v>-1.5706028069063913</v>
      </c>
      <c r="AJ537" s="51" t="str">
        <f t="shared" si="469"/>
        <v>1+17.2247582275357i</v>
      </c>
      <c r="AK537" s="51">
        <f t="shared" si="489"/>
        <v>17.253761792636954</v>
      </c>
      <c r="AL537" s="51">
        <f t="shared" si="490"/>
        <v>1.5128054537183833</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-0.000934945682511923-0.0012602197565045i</v>
      </c>
      <c r="BG537" s="66">
        <f t="shared" si="506"/>
        <v>-56.086630450619651</v>
      </c>
      <c r="BH537" s="63">
        <f t="shared" si="507"/>
        <v>-126.57138671586235</v>
      </c>
      <c r="BI537" s="60" t="e">
        <f t="shared" si="460"/>
        <v>#NUM!</v>
      </c>
      <c r="BJ537" s="66" t="e">
        <f t="shared" si="508"/>
        <v>#NUM!</v>
      </c>
      <c r="BK537" s="63" t="e">
        <f t="shared" si="461"/>
        <v>#NUM!</v>
      </c>
      <c r="BL537" s="51">
        <f t="shared" si="509"/>
        <v>-56.086630450619651</v>
      </c>
      <c r="BM537" s="63">
        <f t="shared" si="510"/>
        <v>-126.57138671586235</v>
      </c>
    </row>
    <row r="538" spans="14:65" x14ac:dyDescent="0.3">
      <c r="N538" s="11">
        <v>20</v>
      </c>
      <c r="O538" s="52">
        <f t="shared" si="462"/>
        <v>1584893.1924611153</v>
      </c>
      <c r="P538" s="50" t="str">
        <f t="shared" si="463"/>
        <v>23.3035714285714</v>
      </c>
      <c r="Q538" s="18" t="str">
        <f t="shared" si="464"/>
        <v>1+3776.99451170732i</v>
      </c>
      <c r="R538" s="18">
        <f t="shared" si="475"/>
        <v>3776.9946440877061</v>
      </c>
      <c r="S538" s="18">
        <f t="shared" si="476"/>
        <v>1.5705315660245185</v>
      </c>
      <c r="T538" s="18" t="str">
        <f t="shared" si="465"/>
        <v>1+17.6259743879675i</v>
      </c>
      <c r="U538" s="18">
        <f t="shared" si="477"/>
        <v>17.654318823599123</v>
      </c>
      <c r="V538" s="18">
        <f t="shared" si="478"/>
        <v>1.5141226296303267</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-0.139506073841974+0.109057943427892i</v>
      </c>
      <c r="AD538" s="66">
        <f t="shared" si="484"/>
        <v>-15.03685166110361</v>
      </c>
      <c r="AE538" s="63">
        <f t="shared" si="485"/>
        <v>141.98371905832104</v>
      </c>
      <c r="AF538" s="51" t="e">
        <f t="shared" si="486"/>
        <v>#NUM!</v>
      </c>
      <c r="AG538" s="51" t="str">
        <f t="shared" si="468"/>
        <v>1-5287.79231639027i</v>
      </c>
      <c r="AH538" s="51">
        <f t="shared" si="487"/>
        <v>5287.7924109476889</v>
      </c>
      <c r="AI538" s="51">
        <f t="shared" si="488"/>
        <v>-1.5706072119567478</v>
      </c>
      <c r="AJ538" s="51" t="str">
        <f t="shared" si="469"/>
        <v>1+17.6259743879675i</v>
      </c>
      <c r="AK538" s="51">
        <f t="shared" si="489"/>
        <v>17.654318823599123</v>
      </c>
      <c r="AL538" s="51">
        <f t="shared" si="490"/>
        <v>1.5141226296303267</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-0.000920695717353407-0.00120672406047866i</v>
      </c>
      <c r="BG538" s="66">
        <f t="shared" si="506"/>
        <v>-56.375432439925405</v>
      </c>
      <c r="BH538" s="63">
        <f t="shared" si="507"/>
        <v>-127.34258899315924</v>
      </c>
      <c r="BI538" s="60" t="e">
        <f t="shared" si="460"/>
        <v>#NUM!</v>
      </c>
      <c r="BJ538" s="66" t="e">
        <f t="shared" si="508"/>
        <v>#NUM!</v>
      </c>
      <c r="BK538" s="63" t="e">
        <f t="shared" si="461"/>
        <v>#NUM!</v>
      </c>
      <c r="BL538" s="51">
        <f t="shared" si="509"/>
        <v>-56.375432439925405</v>
      </c>
      <c r="BM538" s="63">
        <f t="shared" si="510"/>
        <v>-127.34258899315924</v>
      </c>
    </row>
    <row r="539" spans="14:65" x14ac:dyDescent="0.3">
      <c r="N539" s="11">
        <v>21</v>
      </c>
      <c r="O539" s="52">
        <f t="shared" si="462"/>
        <v>1621810.0973589318</v>
      </c>
      <c r="P539" s="50" t="str">
        <f t="shared" si="463"/>
        <v>23.3035714285714</v>
      </c>
      <c r="Q539" s="18" t="str">
        <f t="shared" si="464"/>
        <v>1+3864.97201571296i</v>
      </c>
      <c r="R539" s="18">
        <f t="shared" si="475"/>
        <v>3864.9721450800007</v>
      </c>
      <c r="S539" s="18">
        <f t="shared" si="476"/>
        <v>1.5705375927151619</v>
      </c>
      <c r="T539" s="18" t="str">
        <f t="shared" si="465"/>
        <v>1+18.0365360733272i</v>
      </c>
      <c r="U539" s="18">
        <f t="shared" si="477"/>
        <v>18.064236311685953</v>
      </c>
      <c r="V539" s="18">
        <f t="shared" si="478"/>
        <v>1.5154100132119588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-0.136616377244236+0.109728505948129i</v>
      </c>
      <c r="AD539" s="66">
        <f t="shared" si="484"/>
        <v>-15.127996740900095</v>
      </c>
      <c r="AE539" s="63">
        <f t="shared" si="485"/>
        <v>141.22902026656109</v>
      </c>
      <c r="AF539" s="51" t="e">
        <f t="shared" si="486"/>
        <v>#NUM!</v>
      </c>
      <c r="AG539" s="51" t="str">
        <f t="shared" si="468"/>
        <v>1-5410.96082199816i</v>
      </c>
      <c r="AH539" s="51">
        <f t="shared" si="487"/>
        <v>5410.9609144031892</v>
      </c>
      <c r="AI539" s="51">
        <f t="shared" si="488"/>
        <v>-1.5706115167359234</v>
      </c>
      <c r="AJ539" s="51" t="str">
        <f t="shared" si="469"/>
        <v>1+18.0365360733272i</v>
      </c>
      <c r="AK539" s="51">
        <f t="shared" si="489"/>
        <v>18.064236311685953</v>
      </c>
      <c r="AL539" s="51">
        <f t="shared" si="490"/>
        <v>1.5154100132119588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-0.000905951653940558-0.0011548789590594i</v>
      </c>
      <c r="BG539" s="66">
        <f t="shared" si="506"/>
        <v>-56.666547494598085</v>
      </c>
      <c r="BH539" s="63">
        <f t="shared" si="507"/>
        <v>-128.11262128015269</v>
      </c>
      <c r="BI539" s="60" t="e">
        <f t="shared" si="460"/>
        <v>#NUM!</v>
      </c>
      <c r="BJ539" s="66" t="e">
        <f t="shared" si="508"/>
        <v>#NUM!</v>
      </c>
      <c r="BK539" s="63" t="e">
        <f t="shared" si="461"/>
        <v>#NUM!</v>
      </c>
      <c r="BL539" s="51">
        <f t="shared" si="509"/>
        <v>-56.666547494598085</v>
      </c>
      <c r="BM539" s="63">
        <f t="shared" si="510"/>
        <v>-128.11262128015269</v>
      </c>
    </row>
    <row r="540" spans="14:65" x14ac:dyDescent="0.3">
      <c r="N540" s="11">
        <v>22</v>
      </c>
      <c r="O540" s="52">
        <f t="shared" si="462"/>
        <v>1659586.9074375622</v>
      </c>
      <c r="P540" s="50" t="str">
        <f t="shared" si="463"/>
        <v>23.3035714285714</v>
      </c>
      <c r="Q540" s="18" t="str">
        <f t="shared" si="464"/>
        <v>1+3954.99877904031i</v>
      </c>
      <c r="R540" s="18">
        <f t="shared" si="475"/>
        <v>3954.9989054625976</v>
      </c>
      <c r="S540" s="18">
        <f t="shared" si="476"/>
        <v>1.5705434822215962</v>
      </c>
      <c r="T540" s="18" t="str">
        <f t="shared" si="465"/>
        <v>1+18.4566609688548i</v>
      </c>
      <c r="U540" s="18">
        <f t="shared" si="477"/>
        <v>18.48373160699019</v>
      </c>
      <c r="V540" s="18">
        <f t="shared" si="478"/>
        <v>1.5166682699722018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-0.133714782855833+0.110322300577202i</v>
      </c>
      <c r="AD540" s="66">
        <f t="shared" si="484"/>
        <v>-15.221460840541701</v>
      </c>
      <c r="AE540" s="63">
        <f t="shared" si="485"/>
        <v>140.47542988174354</v>
      </c>
      <c r="AF540" s="51" t="e">
        <f t="shared" si="486"/>
        <v>#NUM!</v>
      </c>
      <c r="AG540" s="51" t="str">
        <f t="shared" si="468"/>
        <v>1-5536.99829065644i</v>
      </c>
      <c r="AH540" s="51">
        <f t="shared" si="487"/>
        <v>5536.9983809580744</v>
      </c>
      <c r="AI540" s="51">
        <f t="shared" si="488"/>
        <v>-1.5706157235263685</v>
      </c>
      <c r="AJ540" s="51" t="str">
        <f t="shared" si="469"/>
        <v>1+18.4566609688548i</v>
      </c>
      <c r="AK540" s="51">
        <f t="shared" si="489"/>
        <v>18.48373160699019</v>
      </c>
      <c r="AL540" s="51">
        <f t="shared" si="490"/>
        <v>1.5166682699722018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-0.000890754962722353-0.00110466635946874i</v>
      </c>
      <c r="BG540" s="66">
        <f t="shared" si="506"/>
        <v>-56.959982920274243</v>
      </c>
      <c r="BH540" s="63">
        <f t="shared" si="507"/>
        <v>-128.88119623440366</v>
      </c>
      <c r="BI540" s="60" t="e">
        <f t="shared" si="460"/>
        <v>#NUM!</v>
      </c>
      <c r="BJ540" s="66" t="e">
        <f t="shared" si="508"/>
        <v>#NUM!</v>
      </c>
      <c r="BK540" s="63" t="e">
        <f t="shared" si="461"/>
        <v>#NUM!</v>
      </c>
      <c r="BL540" s="51">
        <f t="shared" si="509"/>
        <v>-56.959982920274243</v>
      </c>
      <c r="BM540" s="63">
        <f t="shared" si="510"/>
        <v>-128.88119623440366</v>
      </c>
    </row>
    <row r="541" spans="14:65" x14ac:dyDescent="0.3">
      <c r="N541" s="11">
        <v>23</v>
      </c>
      <c r="O541" s="52">
        <f t="shared" si="462"/>
        <v>1698243.6524617488</v>
      </c>
      <c r="P541" s="50" t="str">
        <f t="shared" si="463"/>
        <v>23.3035714285714</v>
      </c>
      <c r="Q541" s="18" t="str">
        <f t="shared" si="464"/>
        <v>1+4047.12253507091i</v>
      </c>
      <c r="R541" s="18">
        <f t="shared" si="475"/>
        <v>4047.1226586154753</v>
      </c>
      <c r="S541" s="18">
        <f t="shared" si="476"/>
        <v>1.5705492376665138</v>
      </c>
      <c r="T541" s="18" t="str">
        <f t="shared" si="465"/>
        <v>1+18.8865718303309i</v>
      </c>
      <c r="U541" s="18">
        <f t="shared" si="477"/>
        <v>18.913027137458684</v>
      </c>
      <c r="V541" s="18">
        <f t="shared" si="478"/>
        <v>1.5178980511097375</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-0.130804485955639+0.110839059916243i</v>
      </c>
      <c r="AD541" s="66">
        <f t="shared" si="484"/>
        <v>-15.317248992207329</v>
      </c>
      <c r="AE541" s="63">
        <f t="shared" si="485"/>
        <v>139.72324712542076</v>
      </c>
      <c r="AF541" s="51" t="e">
        <f t="shared" si="486"/>
        <v>#NUM!</v>
      </c>
      <c r="AG541" s="51" t="str">
        <f t="shared" si="468"/>
        <v>1-5665.97154909928i</v>
      </c>
      <c r="AH541" s="51">
        <f t="shared" si="487"/>
        <v>5665.9716373453984</v>
      </c>
      <c r="AI541" s="51">
        <f t="shared" si="488"/>
        <v>-1.5706198345585782</v>
      </c>
      <c r="AJ541" s="51" t="str">
        <f t="shared" si="469"/>
        <v>1+18.8865718303309i</v>
      </c>
      <c r="AK541" s="51">
        <f t="shared" si="489"/>
        <v>18.913027137458684</v>
      </c>
      <c r="AL541" s="51">
        <f t="shared" si="490"/>
        <v>1.5178980511097375</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-0.000875146682679957-0.00105606715297872i</v>
      </c>
      <c r="BG541" s="66">
        <f t="shared" si="506"/>
        <v>-57.255743688337773</v>
      </c>
      <c r="BH541" s="63">
        <f t="shared" si="507"/>
        <v>-129.64802256972919</v>
      </c>
      <c r="BI541" s="60" t="e">
        <f t="shared" si="460"/>
        <v>#NUM!</v>
      </c>
      <c r="BJ541" s="66" t="e">
        <f t="shared" si="508"/>
        <v>#NUM!</v>
      </c>
      <c r="BK541" s="63" t="e">
        <f t="shared" si="461"/>
        <v>#NUM!</v>
      </c>
      <c r="BL541" s="51">
        <f t="shared" si="509"/>
        <v>-57.255743688337773</v>
      </c>
      <c r="BM541" s="63">
        <f t="shared" si="510"/>
        <v>-129.64802256972919</v>
      </c>
    </row>
    <row r="542" spans="14:65" x14ac:dyDescent="0.3">
      <c r="N542" s="11">
        <v>24</v>
      </c>
      <c r="O542" s="52">
        <f t="shared" si="462"/>
        <v>1737800.8287493798</v>
      </c>
      <c r="P542" s="50" t="str">
        <f t="shared" si="463"/>
        <v>23.3035714285714</v>
      </c>
      <c r="Q542" s="18" t="str">
        <f t="shared" si="464"/>
        <v>1+4141.39212903956i</v>
      </c>
      <c r="R542" s="18">
        <f t="shared" si="475"/>
        <v>4141.3922497719077</v>
      </c>
      <c r="S542" s="18">
        <f t="shared" si="476"/>
        <v>1.5705548621015262</v>
      </c>
      <c r="T542" s="18" t="str">
        <f t="shared" si="465"/>
        <v>1+19.3264966021846i</v>
      </c>
      <c r="U542" s="18">
        <f t="shared" si="477"/>
        <v>19.352350526854689</v>
      </c>
      <c r="V542" s="18">
        <f t="shared" si="478"/>
        <v>1.5190999937833762</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-0.127888705030336+0.11127869150188i</v>
      </c>
      <c r="AD542" s="66">
        <f t="shared" si="484"/>
        <v>-15.415363862453294</v>
      </c>
      <c r="AE542" s="63">
        <f t="shared" si="485"/>
        <v>138.97277406150968</v>
      </c>
      <c r="AF542" s="51" t="e">
        <f t="shared" si="486"/>
        <v>#NUM!</v>
      </c>
      <c r="AG542" s="51" t="str">
        <f t="shared" si="468"/>
        <v>1-5797.94898065539i</v>
      </c>
      <c r="AH542" s="51">
        <f t="shared" si="487"/>
        <v>5797.949066892782</v>
      </c>
      <c r="AI542" s="51">
        <f t="shared" si="488"/>
        <v>-1.5706238520122759</v>
      </c>
      <c r="AJ542" s="51" t="str">
        <f t="shared" si="469"/>
        <v>1+19.3264966021846i</v>
      </c>
      <c r="AK542" s="51">
        <f t="shared" si="489"/>
        <v>19.352350526854689</v>
      </c>
      <c r="AL542" s="51">
        <f t="shared" si="490"/>
        <v>1.5190999937833762</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-0.000859167350544334-0.00100906119345773i</v>
      </c>
      <c r="BG542" s="66">
        <f t="shared" si="506"/>
        <v>-57.553832407284688</v>
      </c>
      <c r="BH542" s="63">
        <f t="shared" si="507"/>
        <v>-130.41280597742758</v>
      </c>
      <c r="BI542" s="60" t="e">
        <f t="shared" si="460"/>
        <v>#NUM!</v>
      </c>
      <c r="BJ542" s="66" t="e">
        <f t="shared" si="508"/>
        <v>#NUM!</v>
      </c>
      <c r="BK542" s="63" t="e">
        <f t="shared" si="461"/>
        <v>#NUM!</v>
      </c>
      <c r="BL542" s="51">
        <f t="shared" si="509"/>
        <v>-57.553832407284688</v>
      </c>
      <c r="BM542" s="63">
        <f t="shared" si="510"/>
        <v>-130.41280597742758</v>
      </c>
    </row>
    <row r="543" spans="14:65" x14ac:dyDescent="0.3">
      <c r="N543" s="11">
        <v>25</v>
      </c>
      <c r="O543" s="52">
        <f t="shared" si="462"/>
        <v>1778279.4100389241</v>
      </c>
      <c r="P543" s="50" t="str">
        <f t="shared" si="463"/>
        <v>23.3035714285714</v>
      </c>
      <c r="Q543" s="18" t="str">
        <f t="shared" si="464"/>
        <v>1+4237.85754393283i</v>
      </c>
      <c r="R543" s="18">
        <f t="shared" si="475"/>
        <v>4237.8576619169735</v>
      </c>
      <c r="S543" s="18">
        <f t="shared" si="476"/>
        <v>1.570560358508782</v>
      </c>
      <c r="T543" s="18" t="str">
        <f t="shared" si="465"/>
        <v>1+19.7766685383532i</v>
      </c>
      <c r="U543" s="18">
        <f t="shared" si="477"/>
        <v>19.801934715473873</v>
      </c>
      <c r="V543" s="18">
        <f t="shared" si="478"/>
        <v>1.5202747213799064</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-0.124970668795626+0.111641279626751i</v>
      </c>
      <c r="AD543" s="66">
        <f t="shared" si="484"/>
        <v>-15.515805733909113</v>
      </c>
      <c r="AE543" s="63">
        <f t="shared" si="485"/>
        <v>138.2243146664963</v>
      </c>
      <c r="AF543" s="51" t="e">
        <f t="shared" si="486"/>
        <v>#NUM!</v>
      </c>
      <c r="AG543" s="51" t="str">
        <f t="shared" si="468"/>
        <v>1-5933.00056150598i</v>
      </c>
      <c r="AH543" s="51">
        <f t="shared" si="487"/>
        <v>5933.0006457803693</v>
      </c>
      <c r="AI543" s="51">
        <f t="shared" si="488"/>
        <v>-1.5706277780175681</v>
      </c>
      <c r="AJ543" s="51" t="str">
        <f t="shared" si="469"/>
        <v>1+19.7766685383532i</v>
      </c>
      <c r="AK543" s="51">
        <f t="shared" si="489"/>
        <v>19.801934715473873</v>
      </c>
      <c r="AL543" s="51">
        <f t="shared" si="490"/>
        <v>1.5202747213799064</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-0.000842856926914063-0.000963627284196026i</v>
      </c>
      <c r="BG543" s="66">
        <f t="shared" si="506"/>
        <v>-57.854249304295905</v>
      </c>
      <c r="BH543" s="63">
        <f t="shared" si="507"/>
        <v>-131.17525006014381</v>
      </c>
      <c r="BI543" s="60" t="e">
        <f t="shared" si="460"/>
        <v>#NUM!</v>
      </c>
      <c r="BJ543" s="66" t="e">
        <f t="shared" si="508"/>
        <v>#NUM!</v>
      </c>
      <c r="BK543" s="63" t="e">
        <f t="shared" si="461"/>
        <v>#NUM!</v>
      </c>
      <c r="BL543" s="51">
        <f t="shared" si="509"/>
        <v>-57.854249304295905</v>
      </c>
      <c r="BM543" s="63">
        <f t="shared" si="510"/>
        <v>-131.17525006014381</v>
      </c>
    </row>
    <row r="544" spans="14:65" x14ac:dyDescent="0.3">
      <c r="N544" s="11">
        <v>26</v>
      </c>
      <c r="O544" s="52">
        <f t="shared" si="462"/>
        <v>1819700.8586099846</v>
      </c>
      <c r="P544" s="50" t="str">
        <f t="shared" si="463"/>
        <v>23.3035714285714</v>
      </c>
      <c r="Q544" s="18" t="str">
        <f t="shared" si="464"/>
        <v>1+4336.5699269906i</v>
      </c>
      <c r="R544" s="18">
        <f t="shared" si="475"/>
        <v>4336.5700422890968</v>
      </c>
      <c r="S544" s="18">
        <f t="shared" si="476"/>
        <v>1.5705657298025477</v>
      </c>
      <c r="T544" s="18" t="str">
        <f t="shared" si="465"/>
        <v>1+20.2373263259561i</v>
      </c>
      <c r="U544" s="18">
        <f t="shared" si="477"/>
        <v>20.262018083676558</v>
      </c>
      <c r="V544" s="18">
        <f t="shared" si="478"/>
        <v>1.5214228437792368</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-0.122053603083303+0.111927086007628i</v>
      </c>
      <c r="AD544" s="66">
        <f t="shared" si="484"/>
        <v>-15.618572497319505</v>
      </c>
      <c r="AE544" s="63">
        <f t="shared" si="485"/>
        <v>137.47817389285333</v>
      </c>
      <c r="AF544" s="51" t="e">
        <f t="shared" si="486"/>
        <v>#NUM!</v>
      </c>
      <c r="AG544" s="51" t="str">
        <f t="shared" si="468"/>
        <v>1-6071.19789778685i</v>
      </c>
      <c r="AH544" s="51">
        <f t="shared" si="487"/>
        <v>6071.1979801429197</v>
      </c>
      <c r="AI544" s="51">
        <f t="shared" si="488"/>
        <v>-1.5706316146560746</v>
      </c>
      <c r="AJ544" s="51" t="str">
        <f t="shared" si="469"/>
        <v>1+20.2373263259561i</v>
      </c>
      <c r="AK544" s="51">
        <f t="shared" si="489"/>
        <v>20.262018083676558</v>
      </c>
      <c r="AL544" s="51">
        <f t="shared" si="490"/>
        <v>1.5214228437792368</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-0.000826254720230847-0.000919743173236291i</v>
      </c>
      <c r="BG544" s="66">
        <f t="shared" si="506"/>
        <v>-58.156992217162077</v>
      </c>
      <c r="BH544" s="63">
        <f t="shared" si="507"/>
        <v>-131.93505727242948</v>
      </c>
      <c r="BI544" s="60" t="e">
        <f t="shared" si="460"/>
        <v>#NUM!</v>
      </c>
      <c r="BJ544" s="66" t="e">
        <f t="shared" si="508"/>
        <v>#NUM!</v>
      </c>
      <c r="BK544" s="63" t="e">
        <f t="shared" si="461"/>
        <v>#NUM!</v>
      </c>
      <c r="BL544" s="51">
        <f t="shared" si="509"/>
        <v>-58.156992217162077</v>
      </c>
      <c r="BM544" s="63">
        <f t="shared" si="510"/>
        <v>-131.93505727242948</v>
      </c>
    </row>
    <row r="545" spans="14:65" x14ac:dyDescent="0.3">
      <c r="N545" s="11">
        <v>27</v>
      </c>
      <c r="O545" s="52">
        <f t="shared" si="462"/>
        <v>1862087.1366628683</v>
      </c>
      <c r="P545" s="50" t="str">
        <f t="shared" si="463"/>
        <v>23.3035714285714</v>
      </c>
      <c r="Q545" s="18" t="str">
        <f t="shared" si="464"/>
        <v>1+4437.58161682494i</v>
      </c>
      <c r="R545" s="18">
        <f t="shared" si="475"/>
        <v>4437.5817294989229</v>
      </c>
      <c r="S545" s="18">
        <f t="shared" si="476"/>
        <v>1.5705709788307529</v>
      </c>
      <c r="T545" s="18" t="str">
        <f t="shared" si="465"/>
        <v>1+20.7087142118497i</v>
      </c>
      <c r="U545" s="18">
        <f t="shared" si="477"/>
        <v>20.732844578302945</v>
      </c>
      <c r="V545" s="18">
        <f t="shared" si="478"/>
        <v>1.5225449576166825</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-0.119140717713451+0.112136549292654i</v>
      </c>
      <c r="AD545" s="66">
        <f t="shared" si="484"/>
        <v>-15.723659653986694</v>
      </c>
      <c r="AE545" s="63">
        <f t="shared" si="485"/>
        <v>136.73465673167289</v>
      </c>
      <c r="AF545" s="51" t="e">
        <f t="shared" si="486"/>
        <v>#NUM!</v>
      </c>
      <c r="AG545" s="51" t="str">
        <f t="shared" si="468"/>
        <v>1-6212.61426355493i</v>
      </c>
      <c r="AH545" s="51">
        <f t="shared" si="487"/>
        <v>6212.6143440363476</v>
      </c>
      <c r="AI545" s="51">
        <f t="shared" si="488"/>
        <v>-1.570635363962031</v>
      </c>
      <c r="AJ545" s="51" t="str">
        <f t="shared" si="469"/>
        <v>1+20.7087142118497i</v>
      </c>
      <c r="AK545" s="51">
        <f t="shared" si="489"/>
        <v>20.732844578302945</v>
      </c>
      <c r="AL545" s="51">
        <f t="shared" si="490"/>
        <v>1.5225449576166825</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-0.000809399309586202-0.000877385557322385i</v>
      </c>
      <c r="BG545" s="66">
        <f t="shared" si="506"/>
        <v>-58.462056596613408</v>
      </c>
      <c r="BH545" s="63">
        <f t="shared" si="507"/>
        <v>-132.69192986200011</v>
      </c>
      <c r="BI545" s="60" t="e">
        <f t="shared" si="460"/>
        <v>#NUM!</v>
      </c>
      <c r="BJ545" s="66" t="e">
        <f t="shared" si="508"/>
        <v>#NUM!</v>
      </c>
      <c r="BK545" s="63" t="e">
        <f t="shared" si="461"/>
        <v>#NUM!</v>
      </c>
      <c r="BL545" s="51">
        <f t="shared" si="509"/>
        <v>-58.462056596613408</v>
      </c>
      <c r="BM545" s="63">
        <f t="shared" si="510"/>
        <v>-132.69192986200011</v>
      </c>
    </row>
    <row r="546" spans="14:65" x14ac:dyDescent="0.3">
      <c r="N546" s="11">
        <v>28</v>
      </c>
      <c r="O546" s="52">
        <f t="shared" si="462"/>
        <v>1905460.7179632513</v>
      </c>
      <c r="P546" s="50" t="str">
        <f t="shared" si="463"/>
        <v>23.3035714285714</v>
      </c>
      <c r="Q546" s="18" t="str">
        <f t="shared" si="464"/>
        <v>1+4540.9461711709i</v>
      </c>
      <c r="R546" s="18">
        <f t="shared" si="475"/>
        <v>4540.9462812801103</v>
      </c>
      <c r="S546" s="18">
        <f t="shared" si="476"/>
        <v>1.5705761083765011</v>
      </c>
      <c r="T546" s="18" t="str">
        <f t="shared" si="465"/>
        <v>1+21.1910821321309i</v>
      </c>
      <c r="U546" s="18">
        <f t="shared" si="477"/>
        <v>21.214663842039013</v>
      </c>
      <c r="V546" s="18">
        <f t="shared" si="478"/>
        <v>1.5236416465422487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-0.116235193471252+0.112270283413219i</v>
      </c>
      <c r="AD546" s="66">
        <f t="shared" si="484"/>
        <v>-15.831060328571105</v>
      </c>
      <c r="AE546" s="63">
        <f t="shared" si="485"/>
        <v>135.99406728052793</v>
      </c>
      <c r="AF546" s="51" t="e">
        <f t="shared" si="486"/>
        <v>#NUM!</v>
      </c>
      <c r="AG546" s="51" t="str">
        <f t="shared" si="468"/>
        <v>1-6357.32463963927i</v>
      </c>
      <c r="AH546" s="51">
        <f t="shared" si="487"/>
        <v>6357.3247182887053</v>
      </c>
      <c r="AI546" s="51">
        <f t="shared" si="488"/>
        <v>-1.5706390279233686</v>
      </c>
      <c r="AJ546" s="51" t="str">
        <f t="shared" si="469"/>
        <v>1+21.1910821321309i</v>
      </c>
      <c r="AK546" s="51">
        <f t="shared" si="489"/>
        <v>21.214663842039013</v>
      </c>
      <c r="AL546" s="51">
        <f t="shared" si="490"/>
        <v>1.5236416465422487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-0.000792328467333751-0.000836530094466408i</v>
      </c>
      <c r="BG546" s="66">
        <f t="shared" si="506"/>
        <v>-58.769435519013413</v>
      </c>
      <c r="BH546" s="63">
        <f t="shared" si="507"/>
        <v>-133.44557080567722</v>
      </c>
      <c r="BI546" s="60" t="e">
        <f t="shared" si="460"/>
        <v>#NUM!</v>
      </c>
      <c r="BJ546" s="66" t="e">
        <f t="shared" si="508"/>
        <v>#NUM!</v>
      </c>
      <c r="BK546" s="63" t="e">
        <f t="shared" si="461"/>
        <v>#NUM!</v>
      </c>
      <c r="BL546" s="51">
        <f t="shared" si="509"/>
        <v>-58.769435519013413</v>
      </c>
      <c r="BM546" s="63">
        <f t="shared" si="510"/>
        <v>-133.44557080567722</v>
      </c>
    </row>
    <row r="547" spans="14:65" x14ac:dyDescent="0.3">
      <c r="N547" s="11">
        <v>29</v>
      </c>
      <c r="O547" s="52">
        <f t="shared" si="462"/>
        <v>1949844.5997580495</v>
      </c>
      <c r="P547" s="50" t="str">
        <f t="shared" si="463"/>
        <v>23.3035714285714</v>
      </c>
      <c r="Q547" s="18" t="str">
        <f t="shared" si="464"/>
        <v>1+4646.71839528327i</v>
      </c>
      <c r="R547" s="18">
        <f t="shared" si="475"/>
        <v>4646.7185028860886</v>
      </c>
      <c r="S547" s="18">
        <f t="shared" si="476"/>
        <v>1.570581121159544</v>
      </c>
      <c r="T547" s="18" t="str">
        <f t="shared" si="465"/>
        <v>1+21.6846858446553i</v>
      </c>
      <c r="U547" s="18">
        <f t="shared" si="477"/>
        <v>21.707731345799218</v>
      </c>
      <c r="V547" s="18">
        <f t="shared" si="478"/>
        <v>1.5247134814767842</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-0.113340169306165+0.112329074799851i</v>
      </c>
      <c r="AD547" s="66">
        <f t="shared" si="484"/>
        <v>-15.940765292119234</v>
      </c>
      <c r="AE547" s="63">
        <f t="shared" si="485"/>
        <v>135.256707822512</v>
      </c>
      <c r="AF547" s="51" t="e">
        <f t="shared" si="486"/>
        <v>#NUM!</v>
      </c>
      <c r="AG547" s="51" t="str">
        <f t="shared" si="468"/>
        <v>1-6505.4057533966i</v>
      </c>
      <c r="AH547" s="51">
        <f t="shared" si="487"/>
        <v>6505.405830255756</v>
      </c>
      <c r="AI547" s="51">
        <f t="shared" si="488"/>
        <v>-1.570642608482768</v>
      </c>
      <c r="AJ547" s="51" t="str">
        <f t="shared" si="469"/>
        <v>1+21.6846858446553i</v>
      </c>
      <c r="AK547" s="51">
        <f t="shared" si="489"/>
        <v>21.707731345799218</v>
      </c>
      <c r="AL547" s="51">
        <f t="shared" si="490"/>
        <v>1.5247134814767842</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-0.000775079082467887-0.000797151425021856i</v>
      </c>
      <c r="BG547" s="66">
        <f t="shared" si="506"/>
        <v>-59.079119709284484</v>
      </c>
      <c r="BH547" s="63">
        <f t="shared" si="507"/>
        <v>-134.19568473406653</v>
      </c>
      <c r="BI547" s="60" t="e">
        <f t="shared" si="460"/>
        <v>#NUM!</v>
      </c>
      <c r="BJ547" s="66" t="e">
        <f t="shared" si="508"/>
        <v>#NUM!</v>
      </c>
      <c r="BK547" s="63" t="e">
        <f t="shared" si="461"/>
        <v>#NUM!</v>
      </c>
      <c r="BL547" s="51">
        <f t="shared" si="509"/>
        <v>-59.079119709284484</v>
      </c>
      <c r="BM547" s="63">
        <f t="shared" si="510"/>
        <v>-134.19568473406653</v>
      </c>
    </row>
    <row r="548" spans="14:65" x14ac:dyDescent="0.3">
      <c r="N548" s="11">
        <v>30</v>
      </c>
      <c r="O548" s="52">
        <f t="shared" si="462"/>
        <v>1995262.31496888</v>
      </c>
      <c r="P548" s="50" t="str">
        <f t="shared" si="463"/>
        <v>23.3035714285714</v>
      </c>
      <c r="Q548" s="18" t="str">
        <f t="shared" si="464"/>
        <v>1+4754.95437099545i</v>
      </c>
      <c r="R548" s="18">
        <f t="shared" si="475"/>
        <v>4754.9544761489278</v>
      </c>
      <c r="S548" s="18">
        <f t="shared" si="476"/>
        <v>1.5705860198377244</v>
      </c>
      <c r="T548" s="18" t="str">
        <f t="shared" si="465"/>
        <v>1+22.1897870646454i</v>
      </c>
      <c r="U548" s="18">
        <f t="shared" si="477"/>
        <v>22.212308524201273</v>
      </c>
      <c r="V548" s="18">
        <f t="shared" si="478"/>
        <v>1.5257610208649075</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-0.110458729867756+0.112313878495067i</v>
      </c>
      <c r="AD548" s="66">
        <f t="shared" si="484"/>
        <v>-16.052762995095193</v>
      </c>
      <c r="AE548" s="63">
        <f t="shared" si="485"/>
        <v>134.52287792225374</v>
      </c>
      <c r="AF548" s="51" t="e">
        <f t="shared" si="486"/>
        <v>#NUM!</v>
      </c>
      <c r="AG548" s="51" t="str">
        <f t="shared" si="468"/>
        <v>1-6656.93611939365i</v>
      </c>
      <c r="AH548" s="51">
        <f t="shared" si="487"/>
        <v>6656.9361945032788</v>
      </c>
      <c r="AI548" s="51">
        <f t="shared" si="488"/>
        <v>-1.5706461075386888</v>
      </c>
      <c r="AJ548" s="51" t="str">
        <f t="shared" si="469"/>
        <v>1+22.1897870646454i</v>
      </c>
      <c r="AK548" s="51">
        <f t="shared" si="489"/>
        <v>22.212308524201273</v>
      </c>
      <c r="AL548" s="51">
        <f t="shared" si="490"/>
        <v>1.5257610208649075</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-0.000757687085702157-0.00075922320104139i</v>
      </c>
      <c r="BG548" s="66">
        <f t="shared" si="506"/>
        <v>-59.39109757384152</v>
      </c>
      <c r="BH548" s="63">
        <f t="shared" si="507"/>
        <v>-134.941978839179</v>
      </c>
      <c r="BI548" s="60" t="e">
        <f t="shared" si="460"/>
        <v>#NUM!</v>
      </c>
      <c r="BJ548" s="66" t="e">
        <f t="shared" si="508"/>
        <v>#NUM!</v>
      </c>
      <c r="BK548" s="63" t="e">
        <f t="shared" si="461"/>
        <v>#NUM!</v>
      </c>
      <c r="BL548" s="51">
        <f t="shared" si="509"/>
        <v>-59.39109757384152</v>
      </c>
      <c r="BM548" s="63">
        <f t="shared" si="510"/>
        <v>-134.941978839179</v>
      </c>
    </row>
    <row r="549" spans="14:65" x14ac:dyDescent="0.3">
      <c r="N549" s="11">
        <v>31</v>
      </c>
      <c r="O549" s="52">
        <f t="shared" si="462"/>
        <v>2041737.9446695296</v>
      </c>
      <c r="P549" s="50" t="str">
        <f t="shared" si="463"/>
        <v>23.3035714285714</v>
      </c>
      <c r="Q549" s="18" t="str">
        <f t="shared" si="464"/>
        <v>1+4865.71148645437i</v>
      </c>
      <c r="R549" s="18">
        <f t="shared" si="475"/>
        <v>4865.7115892142638</v>
      </c>
      <c r="S549" s="18">
        <f t="shared" si="476"/>
        <v>1.5705908070083856</v>
      </c>
      <c r="T549" s="18" t="str">
        <f t="shared" si="465"/>
        <v>1+22.7066536034537i</v>
      </c>
      <c r="U549" s="18">
        <f t="shared" si="477"/>
        <v>22.72866291419794</v>
      </c>
      <c r="V549" s="18">
        <f t="shared" si="478"/>
        <v>1.5267848109245898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-0.10759389348729+0.112225813208978i</v>
      </c>
      <c r="AD549" s="66">
        <f t="shared" si="484"/>
        <v>-16.167039610105189</v>
      </c>
      <c r="AE549" s="63">
        <f t="shared" si="485"/>
        <v>133.79287354451196</v>
      </c>
      <c r="AF549" s="51" t="e">
        <f t="shared" si="486"/>
        <v>#NUM!</v>
      </c>
      <c r="AG549" s="51" t="str">
        <f t="shared" si="468"/>
        <v>1-6811.99608103613i</v>
      </c>
      <c r="AH549" s="51">
        <f t="shared" si="487"/>
        <v>6811.9961544360549</v>
      </c>
      <c r="AI549" s="51">
        <f t="shared" si="488"/>
        <v>-1.5706495269463763</v>
      </c>
      <c r="AJ549" s="51" t="str">
        <f t="shared" si="469"/>
        <v>1+22.7066536034537i</v>
      </c>
      <c r="AK549" s="51">
        <f t="shared" si="489"/>
        <v>22.72866291419794</v>
      </c>
      <c r="AL549" s="51">
        <f t="shared" si="490"/>
        <v>1.5267848109245898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-0.000740187377139-0.00072271812359393i</v>
      </c>
      <c r="BG549" s="66">
        <f t="shared" si="506"/>
        <v>-59.705355243223494</v>
      </c>
      <c r="BH549" s="63">
        <f t="shared" si="507"/>
        <v>-135.68416375939009</v>
      </c>
      <c r="BI549" s="60" t="e">
        <f t="shared" si="460"/>
        <v>#NUM!</v>
      </c>
      <c r="BJ549" s="66" t="e">
        <f t="shared" si="508"/>
        <v>#NUM!</v>
      </c>
      <c r="BK549" s="63" t="e">
        <f t="shared" si="461"/>
        <v>#NUM!</v>
      </c>
      <c r="BL549" s="51">
        <f t="shared" si="509"/>
        <v>-59.705355243223494</v>
      </c>
      <c r="BM549" s="63">
        <f t="shared" si="510"/>
        <v>-135.68416375939009</v>
      </c>
    </row>
    <row r="550" spans="14:65" x14ac:dyDescent="0.3">
      <c r="N550" s="11">
        <v>32</v>
      </c>
      <c r="O550" s="52">
        <f t="shared" si="462"/>
        <v>2089296.1308540432</v>
      </c>
      <c r="P550" s="50" t="str">
        <f t="shared" si="463"/>
        <v>23.3035714285714</v>
      </c>
      <c r="Q550" s="18" t="str">
        <f t="shared" si="464"/>
        <v>1+4979.04846654876i</v>
      </c>
      <c r="R550" s="18">
        <f t="shared" si="475"/>
        <v>4979.0485669695536</v>
      </c>
      <c r="S550" s="18">
        <f t="shared" si="476"/>
        <v>1.5705954852097479</v>
      </c>
      <c r="T550" s="18" t="str">
        <f t="shared" si="465"/>
        <v>1+23.2355595105609i</v>
      </c>
      <c r="U550" s="18">
        <f t="shared" si="477"/>
        <v>23.257068296946141</v>
      </c>
      <c r="V550" s="18">
        <f t="shared" si="478"/>
        <v>1.5277853858933339</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-0.104748600707345+0.112066155375452i</v>
      </c>
      <c r="AD550" s="66">
        <f t="shared" si="484"/>
        <v>-16.283579083924113</v>
      </c>
      <c r="AE550" s="63">
        <f t="shared" si="485"/>
        <v>133.06698620067269</v>
      </c>
      <c r="AF550" s="51" t="e">
        <f t="shared" si="486"/>
        <v>#NUM!</v>
      </c>
      <c r="AG550" s="51" t="str">
        <f t="shared" si="468"/>
        <v>1-6970.66785316828i</v>
      </c>
      <c r="AH550" s="51">
        <f t="shared" si="487"/>
        <v>6970.6679248974178</v>
      </c>
      <c r="AI550" s="51">
        <f t="shared" si="488"/>
        <v>-1.5706528685188457</v>
      </c>
      <c r="AJ550" s="51" t="str">
        <f t="shared" si="469"/>
        <v>1+23.2355595105609i</v>
      </c>
      <c r="AK550" s="51">
        <f t="shared" si="489"/>
        <v>23.257068296946141</v>
      </c>
      <c r="AL550" s="51">
        <f t="shared" si="490"/>
        <v>1.5277853858933339</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-0.00072261375736863-0.000687607987618564i</v>
      </c>
      <c r="BG550" s="66">
        <f t="shared" si="506"/>
        <v>-60.021876624030568</v>
      </c>
      <c r="BH550" s="63">
        <f t="shared" si="507"/>
        <v>-136.42195443641666</v>
      </c>
      <c r="BI550" s="60" t="e">
        <f t="shared" si="460"/>
        <v>#NUM!</v>
      </c>
      <c r="BJ550" s="66" t="e">
        <f t="shared" si="508"/>
        <v>#NUM!</v>
      </c>
      <c r="BK550" s="63" t="e">
        <f t="shared" si="461"/>
        <v>#NUM!</v>
      </c>
      <c r="BL550" s="51">
        <f t="shared" si="509"/>
        <v>-60.021876624030568</v>
      </c>
      <c r="BM550" s="63">
        <f t="shared" si="510"/>
        <v>-136.42195443641666</v>
      </c>
    </row>
    <row r="551" spans="14:65" x14ac:dyDescent="0.3">
      <c r="N551" s="11">
        <v>33</v>
      </c>
      <c r="O551" s="52">
        <f t="shared" si="462"/>
        <v>2137962.0895022359</v>
      </c>
      <c r="P551" s="50" t="str">
        <f t="shared" si="463"/>
        <v>23.3035714285714</v>
      </c>
      <c r="Q551" s="18" t="str">
        <f t="shared" si="464"/>
        <v>1+5095.02540404556i</v>
      </c>
      <c r="R551" s="18">
        <f t="shared" si="475"/>
        <v>5095.0255021804969</v>
      </c>
      <c r="S551" s="18">
        <f t="shared" si="476"/>
        <v>1.5706000569222547</v>
      </c>
      <c r="T551" s="18" t="str">
        <f t="shared" si="465"/>
        <v>1+23.7767852188793i</v>
      </c>
      <c r="U551" s="18">
        <f t="shared" si="477"/>
        <v>23.79780484298325</v>
      </c>
      <c r="V551" s="18">
        <f t="shared" si="478"/>
        <v>1.5287632682708603</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-0.101925703453519+0.111836332277563i</v>
      </c>
      <c r="AD551" s="66">
        <f t="shared" si="484"/>
        <v>-16.402363198354855</v>
      </c>
      <c r="AE551" s="63">
        <f t="shared" si="485"/>
        <v>132.34550212815176</v>
      </c>
      <c r="AF551" s="51" t="e">
        <f t="shared" si="486"/>
        <v>#NUM!</v>
      </c>
      <c r="AG551" s="51" t="str">
        <f t="shared" si="468"/>
        <v>1-7133.03556566381i</v>
      </c>
      <c r="AH551" s="51">
        <f t="shared" si="487"/>
        <v>7133.0356357601941</v>
      </c>
      <c r="AI551" s="51">
        <f t="shared" si="488"/>
        <v>-1.5706561340278422</v>
      </c>
      <c r="AJ551" s="51" t="str">
        <f t="shared" si="469"/>
        <v>1+23.7767852188793i</v>
      </c>
      <c r="AK551" s="51">
        <f t="shared" si="489"/>
        <v>23.79780484298325</v>
      </c>
      <c r="AL551" s="51">
        <f t="shared" si="490"/>
        <v>1.5287632682708603</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-0.000704998862769224-0.000653863733804577i</v>
      </c>
      <c r="BG551" s="66">
        <f t="shared" si="506"/>
        <v>-60.340643459698377</v>
      </c>
      <c r="BH551" s="63">
        <f t="shared" si="507"/>
        <v>-137.15507093931171</v>
      </c>
      <c r="BI551" s="60" t="e">
        <f t="shared" si="460"/>
        <v>#NUM!</v>
      </c>
      <c r="BJ551" s="66" t="e">
        <f t="shared" si="508"/>
        <v>#NUM!</v>
      </c>
      <c r="BK551" s="63" t="e">
        <f t="shared" si="461"/>
        <v>#NUM!</v>
      </c>
      <c r="BL551" s="51">
        <f t="shared" si="509"/>
        <v>-60.340643459698377</v>
      </c>
      <c r="BM551" s="63">
        <f t="shared" si="510"/>
        <v>-137.15507093931171</v>
      </c>
    </row>
    <row r="552" spans="14:65" x14ac:dyDescent="0.3">
      <c r="N552" s="11">
        <v>34</v>
      </c>
      <c r="O552" s="52">
        <f t="shared" si="462"/>
        <v>2187761.6239495561</v>
      </c>
      <c r="P552" s="50" t="str">
        <f t="shared" si="463"/>
        <v>23.3035714285714</v>
      </c>
      <c r="Q552" s="18" t="str">
        <f t="shared" si="464"/>
        <v>1+5213.70379145225i</v>
      </c>
      <c r="R552" s="18">
        <f t="shared" si="475"/>
        <v>5213.703887353362</v>
      </c>
      <c r="S552" s="18">
        <f t="shared" si="476"/>
        <v>1.5706045245698879</v>
      </c>
      <c r="T552" s="18" t="str">
        <f t="shared" si="465"/>
        <v>1+24.3306176934438i</v>
      </c>
      <c r="U552" s="18">
        <f t="shared" si="477"/>
        <v>24.351159260793324</v>
      </c>
      <c r="V552" s="18">
        <f t="shared" si="478"/>
        <v>1.5297189690582569</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-0.0991279549327778+0.111537914320713i</v>
      </c>
      <c r="AD552" s="66">
        <f t="shared" si="484"/>
        <v>-16.523371639382336</v>
      </c>
      <c r="AE552" s="63">
        <f t="shared" si="485"/>
        <v>131.62870150731504</v>
      </c>
      <c r="AF552" s="51" t="e">
        <f t="shared" si="486"/>
        <v>#NUM!</v>
      </c>
      <c r="AG552" s="51" t="str">
        <f t="shared" si="468"/>
        <v>1-7299.18530803316i</v>
      </c>
      <c r="AH552" s="51">
        <f t="shared" si="487"/>
        <v>7299.1853765339556</v>
      </c>
      <c r="AI552" s="51">
        <f t="shared" si="488"/>
        <v>-1.5706593252047818</v>
      </c>
      <c r="AJ552" s="51" t="str">
        <f t="shared" si="469"/>
        <v>1+24.3306176934438i</v>
      </c>
      <c r="AK552" s="51">
        <f t="shared" si="489"/>
        <v>24.351159260793324</v>
      </c>
      <c r="AL552" s="51">
        <f t="shared" si="490"/>
        <v>1.5297189690582569</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-0.00068737410570532-0.00062145550690868i</v>
      </c>
      <c r="BG552" s="66">
        <f t="shared" si="506"/>
        <v>-60.661635399570748</v>
      </c>
      <c r="BH552" s="63">
        <f t="shared" si="507"/>
        <v>-137.8832392508647</v>
      </c>
      <c r="BI552" s="60" t="e">
        <f t="shared" si="460"/>
        <v>#NUM!</v>
      </c>
      <c r="BJ552" s="66" t="e">
        <f t="shared" si="508"/>
        <v>#NUM!</v>
      </c>
      <c r="BK552" s="63" t="e">
        <f t="shared" si="461"/>
        <v>#NUM!</v>
      </c>
      <c r="BL552" s="51">
        <f t="shared" si="509"/>
        <v>-60.661635399570748</v>
      </c>
      <c r="BM552" s="63">
        <f t="shared" si="510"/>
        <v>-137.8832392508647</v>
      </c>
    </row>
    <row r="553" spans="14:65" x14ac:dyDescent="0.3">
      <c r="N553" s="11">
        <v>35</v>
      </c>
      <c r="O553" s="52">
        <f t="shared" si="462"/>
        <v>2238721.1385683389</v>
      </c>
      <c r="P553" s="50" t="str">
        <f t="shared" si="463"/>
        <v>23.3035714285714</v>
      </c>
      <c r="Q553" s="18" t="str">
        <f t="shared" si="464"/>
        <v>1+5335.14655362066i</v>
      </c>
      <c r="R553" s="18">
        <f t="shared" si="475"/>
        <v>5335.1466473387964</v>
      </c>
      <c r="S553" s="18">
        <f t="shared" si="476"/>
        <v>1.5706088905214524</v>
      </c>
      <c r="T553" s="18" t="str">
        <f t="shared" si="465"/>
        <v>1+24.8973505835631i</v>
      </c>
      <c r="U553" s="18">
        <f t="shared" si="477"/>
        <v>24.917424948835496</v>
      </c>
      <c r="V553" s="18">
        <f t="shared" si="478"/>
        <v>1.5306529879935298</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-0.0963580003324675+0.111172606540008i</v>
      </c>
      <c r="AD553" s="66">
        <f t="shared" si="484"/>
        <v>-16.646582074023609</v>
      </c>
      <c r="AE553" s="63">
        <f t="shared" si="485"/>
        <v>130.91685772011235</v>
      </c>
      <c r="AF553" s="51" t="e">
        <f t="shared" si="486"/>
        <v>#NUM!</v>
      </c>
      <c r="AG553" s="51" t="str">
        <f t="shared" si="468"/>
        <v>1-7469.20517506894i</v>
      </c>
      <c r="AH553" s="51">
        <f t="shared" si="487"/>
        <v>7469.2052420104665</v>
      </c>
      <c r="AI553" s="51">
        <f t="shared" si="488"/>
        <v>-1.5706624437416685</v>
      </c>
      <c r="AJ553" s="51" t="str">
        <f t="shared" si="469"/>
        <v>1+24.8973505835631i</v>
      </c>
      <c r="AK553" s="51">
        <f t="shared" si="489"/>
        <v>24.917424948835496</v>
      </c>
      <c r="AL553" s="51">
        <f t="shared" si="490"/>
        <v>1.5306529879935298</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-0.000669769620237366-0.000590352719853683i</v>
      </c>
      <c r="BG553" s="66">
        <f t="shared" si="506"/>
        <v>-60.984830075672463</v>
      </c>
      <c r="BH553" s="63">
        <f t="shared" si="507"/>
        <v>-138.60619201221385</v>
      </c>
      <c r="BI553" s="60" t="e">
        <f t="shared" si="460"/>
        <v>#NUM!</v>
      </c>
      <c r="BJ553" s="66" t="e">
        <f t="shared" si="508"/>
        <v>#NUM!</v>
      </c>
      <c r="BK553" s="63" t="e">
        <f t="shared" si="461"/>
        <v>#NUM!</v>
      </c>
      <c r="BL553" s="51">
        <f t="shared" si="509"/>
        <v>-60.984830075672463</v>
      </c>
      <c r="BM553" s="63">
        <f t="shared" si="510"/>
        <v>-138.60619201221385</v>
      </c>
    </row>
    <row r="554" spans="14:65" x14ac:dyDescent="0.3">
      <c r="N554" s="11">
        <v>36</v>
      </c>
      <c r="O554" s="52">
        <f t="shared" si="462"/>
        <v>2290867.6527677765</v>
      </c>
      <c r="P554" s="50" t="str">
        <f t="shared" si="463"/>
        <v>23.3035714285714</v>
      </c>
      <c r="Q554" s="18" t="str">
        <f t="shared" si="464"/>
        <v>1+5459.41808111087i</v>
      </c>
      <c r="R554" s="18">
        <f t="shared" si="475"/>
        <v>5459.4181726957213</v>
      </c>
      <c r="S554" s="18">
        <f t="shared" si="476"/>
        <v>1.5706131570918331</v>
      </c>
      <c r="T554" s="18" t="str">
        <f t="shared" si="465"/>
        <v>1+25.4772843785174i</v>
      </c>
      <c r="U554" s="18">
        <f t="shared" si="477"/>
        <v>25.496902151121159</v>
      </c>
      <c r="V554" s="18">
        <f t="shared" si="478"/>
        <v>1.5315658137835251</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-0.0936183683826643+0.110742239435214i</v>
      </c>
      <c r="AD554" s="66">
        <f t="shared" si="484"/>
        <v>-16.77197023422017</v>
      </c>
      <c r="AE554" s="63">
        <f t="shared" si="485"/>
        <v>130.21023665414498</v>
      </c>
      <c r="AF554" s="51" t="e">
        <f t="shared" si="486"/>
        <v>#NUM!</v>
      </c>
      <c r="AG554" s="51" t="str">
        <f t="shared" si="468"/>
        <v>1-7643.18531355524i</v>
      </c>
      <c r="AH554" s="51">
        <f t="shared" si="487"/>
        <v>7643.1853789729912</v>
      </c>
      <c r="AI554" s="51">
        <f t="shared" si="488"/>
        <v>-1.5706654912919917</v>
      </c>
      <c r="AJ554" s="51" t="str">
        <f t="shared" si="469"/>
        <v>1+25.4772843785174i</v>
      </c>
      <c r="AK554" s="51">
        <f t="shared" si="489"/>
        <v>25.496902151121159</v>
      </c>
      <c r="AL554" s="51">
        <f t="shared" si="490"/>
        <v>1.5315658137835251</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-0.0006522142138656-0.000560524122898293i</v>
      </c>
      <c r="BG554" s="66">
        <f t="shared" si="506"/>
        <v>-61.310203186526913</v>
      </c>
      <c r="BH554" s="63">
        <f t="shared" si="507"/>
        <v>-139.32366922195195</v>
      </c>
      <c r="BI554" s="60" t="e">
        <f t="shared" si="460"/>
        <v>#NUM!</v>
      </c>
      <c r="BJ554" s="66" t="e">
        <f t="shared" si="508"/>
        <v>#NUM!</v>
      </c>
      <c r="BK554" s="63" t="e">
        <f t="shared" si="461"/>
        <v>#NUM!</v>
      </c>
      <c r="BL554" s="51">
        <f t="shared" si="509"/>
        <v>-61.310203186526913</v>
      </c>
      <c r="BM554" s="63">
        <f t="shared" si="510"/>
        <v>-139.32366922195195</v>
      </c>
    </row>
    <row r="555" spans="14:65" x14ac:dyDescent="0.3">
      <c r="N555" s="11">
        <v>37</v>
      </c>
      <c r="O555" s="52">
        <f t="shared" si="462"/>
        <v>2344228.8153199251</v>
      </c>
      <c r="P555" s="50" t="str">
        <f t="shared" si="463"/>
        <v>23.3035714285714</v>
      </c>
      <c r="Q555" s="18" t="str">
        <f t="shared" si="464"/>
        <v>1+5586.5842643316i</v>
      </c>
      <c r="R555" s="18">
        <f t="shared" si="475"/>
        <v>5586.5843538317267</v>
      </c>
      <c r="S555" s="18">
        <f t="shared" si="476"/>
        <v>1.5706173265432215</v>
      </c>
      <c r="T555" s="18" t="str">
        <f t="shared" si="465"/>
        <v>1+26.0707265668808i</v>
      </c>
      <c r="U555" s="18">
        <f t="shared" si="477"/>
        <v>26.089898116417864</v>
      </c>
      <c r="V555" s="18">
        <f t="shared" si="478"/>
        <v>1.532457924332185</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-0.0909114638326098+0.11024875923167i</v>
      </c>
      <c r="AD555" s="66">
        <f t="shared" si="484"/>
        <v>-16.899510007075737</v>
      </c>
      <c r="AE555" s="63">
        <f t="shared" si="485"/>
        <v>129.50909605540093</v>
      </c>
      <c r="AF555" s="51" t="e">
        <f t="shared" si="486"/>
        <v>#NUM!</v>
      </c>
      <c r="AG555" s="51" t="str">
        <f t="shared" si="468"/>
        <v>1-7821.21797006426i</v>
      </c>
      <c r="AH555" s="51">
        <f t="shared" si="487"/>
        <v>7821.2180339929218</v>
      </c>
      <c r="AI555" s="51">
        <f t="shared" si="488"/>
        <v>-1.5706684694716027</v>
      </c>
      <c r="AJ555" s="51" t="str">
        <f t="shared" si="469"/>
        <v>1+26.0707265668808i</v>
      </c>
      <c r="AK555" s="51">
        <f t="shared" si="489"/>
        <v>26.089898116417864</v>
      </c>
      <c r="AL555" s="51">
        <f t="shared" si="490"/>
        <v>1.532457924332185</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-0.000634735325736269-0.000531937877125721i</v>
      </c>
      <c r="BG555" s="66">
        <f t="shared" si="506"/>
        <v>-61.637728587323295</v>
      </c>
      <c r="BH555" s="63">
        <f t="shared" si="507"/>
        <v>-140.03541888649346</v>
      </c>
      <c r="BI555" s="60" t="e">
        <f t="shared" si="460"/>
        <v>#NUM!</v>
      </c>
      <c r="BJ555" s="66" t="e">
        <f t="shared" si="508"/>
        <v>#NUM!</v>
      </c>
      <c r="BK555" s="63" t="e">
        <f t="shared" si="461"/>
        <v>#NUM!</v>
      </c>
      <c r="BL555" s="51">
        <f t="shared" si="509"/>
        <v>-61.637728587323295</v>
      </c>
      <c r="BM555" s="63">
        <f t="shared" si="510"/>
        <v>-140.03541888649346</v>
      </c>
    </row>
    <row r="556" spans="14:65" x14ac:dyDescent="0.3">
      <c r="N556" s="11">
        <v>38</v>
      </c>
      <c r="O556" s="52">
        <f t="shared" si="462"/>
        <v>2398832.9190194933</v>
      </c>
      <c r="P556" s="50" t="str">
        <f t="shared" si="463"/>
        <v>23.3035714285714</v>
      </c>
      <c r="Q556" s="18" t="str">
        <f t="shared" si="464"/>
        <v>1+5716.71252847645i</v>
      </c>
      <c r="R556" s="18">
        <f t="shared" si="475"/>
        <v>5716.7126159393038</v>
      </c>
      <c r="S556" s="18">
        <f t="shared" si="476"/>
        <v>1.5706214010863151</v>
      </c>
      <c r="T556" s="18" t="str">
        <f t="shared" si="465"/>
        <v>1+26.6779917995568i</v>
      </c>
      <c r="U556" s="18">
        <f t="shared" si="477"/>
        <v>26.696727261168547</v>
      </c>
      <c r="V556" s="18">
        <f t="shared" si="478"/>
        <v>1.5333297869651208</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-0.0882395608796724+0.109694217668972i</v>
      </c>
      <c r="AD556" s="66">
        <f t="shared" si="484"/>
        <v>-17.029173530710317</v>
      </c>
      <c r="AE556" s="63">
        <f t="shared" si="485"/>
        <v>128.81368493236542</v>
      </c>
      <c r="AF556" s="51" t="e">
        <f t="shared" si="486"/>
        <v>#NUM!</v>
      </c>
      <c r="AG556" s="51" t="str">
        <f t="shared" si="468"/>
        <v>1-8003.39753986704i</v>
      </c>
      <c r="AH556" s="51">
        <f t="shared" si="487"/>
        <v>8003.3976023405075</v>
      </c>
      <c r="AI556" s="51">
        <f t="shared" si="488"/>
        <v>-1.5706713798595713</v>
      </c>
      <c r="AJ556" s="51" t="str">
        <f t="shared" si="469"/>
        <v>1+26.6779917995568i</v>
      </c>
      <c r="AK556" s="51">
        <f t="shared" si="489"/>
        <v>26.696727261168547</v>
      </c>
      <c r="AL556" s="51">
        <f t="shared" si="490"/>
        <v>1.5333297869651208</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-0.000617358991640904-0.000504561631469907i</v>
      </c>
      <c r="BG556" s="66">
        <f t="shared" si="506"/>
        <v>-61.967378385703363</v>
      </c>
      <c r="BH556" s="63">
        <f t="shared" si="507"/>
        <v>-140.74119761899647</v>
      </c>
      <c r="BI556" s="60" t="e">
        <f t="shared" si="460"/>
        <v>#NUM!</v>
      </c>
      <c r="BJ556" s="66" t="e">
        <f t="shared" si="508"/>
        <v>#NUM!</v>
      </c>
      <c r="BK556" s="63" t="e">
        <f t="shared" si="461"/>
        <v>#NUM!</v>
      </c>
      <c r="BL556" s="51">
        <f t="shared" si="509"/>
        <v>-61.967378385703363</v>
      </c>
      <c r="BM556" s="63">
        <f t="shared" si="510"/>
        <v>-140.74119761899647</v>
      </c>
    </row>
    <row r="557" spans="14:65" x14ac:dyDescent="0.3">
      <c r="N557" s="11">
        <v>39</v>
      </c>
      <c r="O557" s="52">
        <f t="shared" si="462"/>
        <v>2454708.915685033</v>
      </c>
      <c r="P557" s="50" t="str">
        <f t="shared" si="463"/>
        <v>23.3035714285714</v>
      </c>
      <c r="Q557" s="18" t="str">
        <f t="shared" si="464"/>
        <v>1+5849.87186927352i</v>
      </c>
      <c r="R557" s="18">
        <f t="shared" si="475"/>
        <v>5849.8719547454766</v>
      </c>
      <c r="S557" s="18">
        <f t="shared" si="476"/>
        <v>1.5706253828814902</v>
      </c>
      <c r="T557" s="18" t="str">
        <f t="shared" si="465"/>
        <v>1+27.2994020566098i</v>
      </c>
      <c r="U557" s="18">
        <f t="shared" si="477"/>
        <v>27.317711336208806</v>
      </c>
      <c r="V557" s="18">
        <f t="shared" si="478"/>
        <v>1.5341818586504827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-0.085604797576999+0.109080761421097i</v>
      </c>
      <c r="AD557" s="66">
        <f t="shared" si="484"/>
        <v>-17.160931294970943</v>
      </c>
      <c r="AE557" s="63">
        <f t="shared" si="485"/>
        <v>128.12424301369433</v>
      </c>
      <c r="AF557" s="51" t="e">
        <f t="shared" si="486"/>
        <v>#NUM!</v>
      </c>
      <c r="AG557" s="51" t="str">
        <f t="shared" si="468"/>
        <v>1-8189.82061698295i</v>
      </c>
      <c r="AH557" s="51">
        <f t="shared" si="487"/>
        <v>8189.8206780343471</v>
      </c>
      <c r="AI557" s="51">
        <f t="shared" si="488"/>
        <v>-1.5706742239990239</v>
      </c>
      <c r="AJ557" s="51" t="str">
        <f t="shared" si="469"/>
        <v>1+27.2994020566098i</v>
      </c>
      <c r="AK557" s="51">
        <f t="shared" si="489"/>
        <v>27.317711336208806</v>
      </c>
      <c r="AL557" s="51">
        <f t="shared" si="490"/>
        <v>1.5341818586504827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-0.000600109816041501-0.000478362602482849i</v>
      </c>
      <c r="BG557" s="66">
        <f t="shared" si="506"/>
        <v>-62.299123042406954</v>
      </c>
      <c r="BH557" s="63">
        <f t="shared" si="507"/>
        <v>-141.44077118465367</v>
      </c>
      <c r="BI557" s="60" t="e">
        <f t="shared" si="460"/>
        <v>#NUM!</v>
      </c>
      <c r="BJ557" s="66" t="e">
        <f t="shared" si="508"/>
        <v>#NUM!</v>
      </c>
      <c r="BK557" s="63" t="e">
        <f t="shared" si="461"/>
        <v>#NUM!</v>
      </c>
      <c r="BL557" s="51">
        <f t="shared" si="509"/>
        <v>-62.299123042406954</v>
      </c>
      <c r="BM557" s="63">
        <f t="shared" si="510"/>
        <v>-141.44077118465367</v>
      </c>
    </row>
    <row r="558" spans="14:65" x14ac:dyDescent="0.3">
      <c r="N558" s="11">
        <v>40</v>
      </c>
      <c r="O558" s="52">
        <f t="shared" si="462"/>
        <v>2511886.431509587</v>
      </c>
      <c r="P558" s="50" t="str">
        <f t="shared" si="463"/>
        <v>23.3035714285714</v>
      </c>
      <c r="Q558" s="18" t="str">
        <f t="shared" si="464"/>
        <v>1+5986.13288956794i</v>
      </c>
      <c r="R558" s="18">
        <f t="shared" si="475"/>
        <v>5986.1329730943171</v>
      </c>
      <c r="S558" s="18">
        <f t="shared" si="476"/>
        <v>1.5706292740399468</v>
      </c>
      <c r="T558" s="18" t="str">
        <f t="shared" si="465"/>
        <v>1+27.9352868179837i</v>
      </c>
      <c r="U558" s="18">
        <f t="shared" si="477"/>
        <v>27.953179597373428</v>
      </c>
      <c r="V558" s="18">
        <f t="shared" si="478"/>
        <v>1.5350145862161213</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-0.0830091712337076+0.108410621251776i</v>
      </c>
      <c r="AD558" s="66">
        <f t="shared" si="484"/>
        <v>-17.294752246230342</v>
      </c>
      <c r="AE558" s="63">
        <f t="shared" si="485"/>
        <v>127.44100026109395</v>
      </c>
      <c r="AF558" s="51" t="e">
        <f t="shared" si="486"/>
        <v>#NUM!</v>
      </c>
      <c r="AG558" s="51" t="str">
        <f t="shared" si="468"/>
        <v>1-8380.58604539513i</v>
      </c>
      <c r="AH558" s="51">
        <f t="shared" si="487"/>
        <v>8380.5861050568274</v>
      </c>
      <c r="AI558" s="51">
        <f t="shared" si="488"/>
        <v>-1.5706770033979602</v>
      </c>
      <c r="AJ558" s="51" t="str">
        <f t="shared" si="469"/>
        <v>1+27.9352868179837i</v>
      </c>
      <c r="AK558" s="51">
        <f t="shared" si="489"/>
        <v>27.953179597373428</v>
      </c>
      <c r="AL558" s="51">
        <f t="shared" si="490"/>
        <v>1.5350145862161213</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-0.000583010951256734-0.000453307656042785i</v>
      </c>
      <c r="BG558" s="66">
        <f t="shared" si="506"/>
        <v>-62.632931476009325</v>
      </c>
      <c r="BH558" s="63">
        <f t="shared" si="507"/>
        <v>-142.13391499070991</v>
      </c>
      <c r="BI558" s="60" t="e">
        <f t="shared" si="460"/>
        <v>#NUM!</v>
      </c>
      <c r="BJ558" s="66" t="e">
        <f t="shared" si="508"/>
        <v>#NUM!</v>
      </c>
      <c r="BK558" s="63" t="e">
        <f t="shared" si="461"/>
        <v>#NUM!</v>
      </c>
      <c r="BL558" s="51">
        <f t="shared" si="509"/>
        <v>-62.632931476009325</v>
      </c>
      <c r="BM558" s="63">
        <f t="shared" si="510"/>
        <v>-142.13391499070991</v>
      </c>
    </row>
    <row r="559" spans="14:65" x14ac:dyDescent="0.3">
      <c r="N559" s="11">
        <v>41</v>
      </c>
      <c r="O559" s="52">
        <f t="shared" si="462"/>
        <v>2570395.782768866</v>
      </c>
      <c r="P559" s="50" t="str">
        <f t="shared" si="463"/>
        <v>23.3035714285714</v>
      </c>
      <c r="Q559" s="18" t="str">
        <f t="shared" si="464"/>
        <v>1+6125.56783675619i</v>
      </c>
      <c r="R559" s="18">
        <f t="shared" si="475"/>
        <v>6125.5679183812763</v>
      </c>
      <c r="S559" s="18">
        <f t="shared" si="476"/>
        <v>1.5706330766248282</v>
      </c>
      <c r="T559" s="18" t="str">
        <f t="shared" si="465"/>
        <v>1+28.5859832381956i</v>
      </c>
      <c r="U559" s="18">
        <f t="shared" si="477"/>
        <v>28.60346898008002</v>
      </c>
      <c r="V559" s="18">
        <f t="shared" si="478"/>
        <v>1.5358284065630352</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-0.0804545348096806+0.107686101007657i</v>
      </c>
      <c r="AD559" s="66">
        <f t="shared" si="484"/>
        <v>-17.430603895493398</v>
      </c>
      <c r="AE559" s="63">
        <f t="shared" si="485"/>
        <v>126.76417643852855</v>
      </c>
      <c r="AF559" s="51" t="e">
        <f t="shared" si="486"/>
        <v>#NUM!</v>
      </c>
      <c r="AG559" s="51" t="str">
        <f t="shared" si="468"/>
        <v>1-8575.79497145869i</v>
      </c>
      <c r="AH559" s="51">
        <f t="shared" si="487"/>
        <v>8575.7950297623229</v>
      </c>
      <c r="AI559" s="51">
        <f t="shared" si="488"/>
        <v>-1.5706797195300546</v>
      </c>
      <c r="AJ559" s="51" t="str">
        <f t="shared" si="469"/>
        <v>1+28.5859832381956i</v>
      </c>
      <c r="AK559" s="51">
        <f t="shared" si="489"/>
        <v>28.60346898008002</v>
      </c>
      <c r="AL559" s="51">
        <f t="shared" si="490"/>
        <v>1.5358284065630352</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-0.000566084083850538-0.000429363390212661i</v>
      </c>
      <c r="BG559" s="66">
        <f t="shared" si="506"/>
        <v>-62.968771170968971</v>
      </c>
      <c r="BH559" s="63">
        <f t="shared" si="507"/>
        <v>-142.82041452008741</v>
      </c>
      <c r="BI559" s="60" t="e">
        <f t="shared" si="460"/>
        <v>#NUM!</v>
      </c>
      <c r="BJ559" s="66" t="e">
        <f t="shared" si="508"/>
        <v>#NUM!</v>
      </c>
      <c r="BK559" s="63" t="e">
        <f t="shared" si="461"/>
        <v>#NUM!</v>
      </c>
      <c r="BL559" s="51">
        <f t="shared" si="509"/>
        <v>-62.968771170968971</v>
      </c>
      <c r="BM559" s="63">
        <f t="shared" si="510"/>
        <v>-142.82041452008741</v>
      </c>
    </row>
    <row r="560" spans="14:65" ht="15" thickBot="1" x14ac:dyDescent="0.35">
      <c r="N560" s="11">
        <v>42</v>
      </c>
      <c r="O560" s="52">
        <f t="shared" si="462"/>
        <v>2630267.9918953842</v>
      </c>
      <c r="P560" s="50" t="str">
        <f t="shared" si="463"/>
        <v>23.3035714285714</v>
      </c>
      <c r="Q560" s="18" t="str">
        <f t="shared" si="464"/>
        <v>1+6268.25064109298i</v>
      </c>
      <c r="R560" s="18">
        <f t="shared" si="475"/>
        <v>6268.2507208600518</v>
      </c>
      <c r="S560" s="18">
        <f t="shared" si="476"/>
        <v>1.5706367926523146</v>
      </c>
      <c r="T560" s="18" t="str">
        <f t="shared" si="465"/>
        <v>1+29.2518363251006i</v>
      </c>
      <c r="U560" s="18">
        <f t="shared" si="477"/>
        <v>29.268924277985949</v>
      </c>
      <c r="V560" s="18">
        <f t="shared" si="478"/>
        <v>1.5366237468751127</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-0.0779425942956155+0.106909566549023i</v>
      </c>
      <c r="AD560" s="67">
        <f t="shared" si="484"/>
        <v>-17.56845242903907</v>
      </c>
      <c r="AE560" s="65">
        <f t="shared" si="485"/>
        <v>126.09398073833854</v>
      </c>
      <c r="AF560" s="51" t="e">
        <f t="shared" si="486"/>
        <v>#NUM!</v>
      </c>
      <c r="AG560" s="51" t="str">
        <f t="shared" si="468"/>
        <v>1-8775.5508975302i</v>
      </c>
      <c r="AH560" s="51">
        <f t="shared" si="487"/>
        <v>8775.5509545066798</v>
      </c>
      <c r="AI560" s="51">
        <f t="shared" si="488"/>
        <v>-1.5706823738354359</v>
      </c>
      <c r="AJ560" s="51" t="str">
        <f t="shared" si="469"/>
        <v>1+29.2518363251006i</v>
      </c>
      <c r="AK560" s="51">
        <f t="shared" si="489"/>
        <v>29.268924277985949</v>
      </c>
      <c r="AL560" s="51">
        <f t="shared" si="490"/>
        <v>1.5366237468751127</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-0.000549349428174089-0.000406496218478161i</v>
      </c>
      <c r="BG560" s="67">
        <f t="shared" si="506"/>
        <v>-63.306608288212587</v>
      </c>
      <c r="BH560" s="65">
        <f t="shared" si="507"/>
        <v>-143.50006570803635</v>
      </c>
      <c r="BI560" s="64" t="e">
        <f t="shared" si="460"/>
        <v>#NUM!</v>
      </c>
      <c r="BJ560" s="67" t="e">
        <f t="shared" si="508"/>
        <v>#NUM!</v>
      </c>
      <c r="BK560" s="65" t="e">
        <f t="shared" si="461"/>
        <v>#NUM!</v>
      </c>
      <c r="BL560" s="57">
        <f t="shared" si="509"/>
        <v>-63.306608288212587</v>
      </c>
      <c r="BM560" s="65">
        <f t="shared" si="510"/>
        <v>-143.50006570803635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88671875" customWidth="1"/>
    <col min="2" max="2" width="25.5546875" customWidth="1"/>
    <col min="3" max="3" width="10.1093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1</v>
      </c>
      <c r="D19" s="4" t="s">
        <v>453</v>
      </c>
    </row>
    <row r="20" spans="1:4" x14ac:dyDescent="0.3">
      <c r="A20" t="s">
        <v>75</v>
      </c>
      <c r="B20" s="1">
        <f>CHOOSE(B19,D_limit_min,(1-Constants!B10*Fsw))</f>
        <v>0.9</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88671875" customWidth="1"/>
  </cols>
  <sheetData>
    <row r="2" spans="2:2" x14ac:dyDescent="0.3">
      <c r="B2" t="str">
        <f>"Eff_vs_IOUT"</f>
        <v>Eff_vs_IOUT</v>
      </c>
    </row>
    <row r="3" spans="2:2" ht="379.6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33203125" customWidth="1"/>
  </cols>
  <sheetData>
    <row r="2" ht="294.60000000000002"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14.8</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2022-06-19T15:23:21Z</dcterms:modified>
</cp:coreProperties>
</file>