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defaultThemeVersion="124226"/>
  <mc:AlternateContent xmlns:mc="http://schemas.openxmlformats.org/markup-compatibility/2006">
    <mc:Choice Requires="x15">
      <x15ac:absPath xmlns:x15ac="http://schemas.microsoft.com/office/spreadsheetml/2010/11/ac" url="C:\Users\Public\Documents\Altium\Projects\SW8E-MainPowerBoard\12V_Module\"/>
    </mc:Choice>
  </mc:AlternateContent>
  <xr:revisionPtr revIDLastSave="0" documentId="13_ncr:1_{D06DA7EE-6349-435D-AA90-C45ED502F69F}" xr6:coauthVersionLast="47" xr6:coauthVersionMax="47" xr10:uidLastSave="{00000000-0000-0000-0000-000000000000}"/>
  <workbookProtection workbookPassword="E1A4" lockStructure="1"/>
  <bookViews>
    <workbookView xWindow="-108" yWindow="-108" windowWidth="23256" windowHeight="125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37" i="3"/>
  <c r="B148" i="2" s="1"/>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29" i="3" l="1"/>
  <c r="B30" i="5" l="1"/>
  <c r="B170" i="2"/>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24" i="5"/>
  <c r="AJ149" i="5"/>
  <c r="AJ167" i="5"/>
  <c r="AJ187" i="5"/>
  <c r="AJ22" i="5"/>
  <c r="AJ68" i="5"/>
  <c r="AJ84" i="5"/>
  <c r="AJ86" i="5"/>
  <c r="AJ141" i="5"/>
  <c r="AJ145" i="5"/>
  <c r="AJ153" i="5"/>
  <c r="AJ157"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AJ165" i="5" l="1"/>
  <c r="AJ70" i="5"/>
  <c r="AK70" i="5" s="1"/>
  <c r="AJ132" i="5"/>
  <c r="AJ54" i="5"/>
  <c r="AJ116" i="5"/>
  <c r="AJ151" i="5"/>
  <c r="AJ38" i="5"/>
  <c r="AK38" i="5" s="1"/>
  <c r="AJ108" i="5"/>
  <c r="AL108" i="5" s="1"/>
  <c r="AP44" i="4"/>
  <c r="AP95" i="4"/>
  <c r="AP153" i="4"/>
  <c r="AP53" i="4"/>
  <c r="AP103" i="4"/>
  <c r="AP146" i="4"/>
  <c r="AP39" i="4"/>
  <c r="AP89" i="4"/>
  <c r="AP136" i="4"/>
  <c r="AP36" i="4"/>
  <c r="AP82" i="4"/>
  <c r="AP130" i="4"/>
  <c r="AP135" i="4"/>
  <c r="AP9" i="4"/>
  <c r="AP47" i="4"/>
  <c r="AP96" i="4"/>
  <c r="AP155" i="4"/>
  <c r="AP57" i="4"/>
  <c r="AP106" i="4"/>
  <c r="AP147" i="4"/>
  <c r="AP41" i="4"/>
  <c r="AP92" i="4"/>
  <c r="AP138" i="4"/>
  <c r="AP46" i="4"/>
  <c r="AP87" i="4"/>
  <c r="AP131" i="4"/>
  <c r="AP45" i="4"/>
  <c r="AP12" i="4"/>
  <c r="AP52" i="4"/>
  <c r="AP109" i="4"/>
  <c r="AP15" i="4"/>
  <c r="AP59" i="4"/>
  <c r="AP107" i="4"/>
  <c r="AP151" i="4"/>
  <c r="AP51" i="4"/>
  <c r="AP97" i="4"/>
  <c r="AP139" i="4"/>
  <c r="AP48" i="4"/>
  <c r="AP90" i="4"/>
  <c r="AP137" i="4"/>
  <c r="AP29" i="4"/>
  <c r="AP125" i="4"/>
  <c r="AP14" i="4"/>
  <c r="AP58" i="4"/>
  <c r="AP112" i="4"/>
  <c r="AP23" i="4"/>
  <c r="AP65" i="4"/>
  <c r="AP113" i="4"/>
  <c r="AP8" i="4"/>
  <c r="AP54" i="4"/>
  <c r="AP99" i="4"/>
  <c r="AP145" i="4"/>
  <c r="AP49" i="4"/>
  <c r="AP98" i="4"/>
  <c r="AP140" i="4"/>
  <c r="AP37" i="4"/>
  <c r="AP17" i="4"/>
  <c r="AP62" i="4"/>
  <c r="AP120" i="4"/>
  <c r="AP32" i="4"/>
  <c r="AP68" i="4"/>
  <c r="AP116" i="4"/>
  <c r="AP10" i="4"/>
  <c r="AP56" i="4"/>
  <c r="AP102" i="4"/>
  <c r="AP154" i="4"/>
  <c r="AP55" i="4"/>
  <c r="AP100" i="4"/>
  <c r="AP148" i="4"/>
  <c r="AP124" i="4"/>
  <c r="AP78" i="4"/>
  <c r="AP20" i="4"/>
  <c r="AP67" i="4"/>
  <c r="AP123" i="4"/>
  <c r="AP33" i="4"/>
  <c r="AP73" i="4"/>
  <c r="AP118" i="4"/>
  <c r="AP13" i="4"/>
  <c r="AP60" i="4"/>
  <c r="AP104" i="4"/>
  <c r="AP156" i="4"/>
  <c r="AP61" i="4"/>
  <c r="AP105" i="4"/>
  <c r="AP150" i="4"/>
  <c r="AP72" i="4"/>
  <c r="AP143" i="4"/>
  <c r="AP21" i="4"/>
  <c r="AP70" i="4"/>
  <c r="AP129" i="4"/>
  <c r="AP34" i="4"/>
  <c r="AP76" i="4"/>
  <c r="AP121" i="4"/>
  <c r="AP16" i="4"/>
  <c r="AP63" i="4"/>
  <c r="AP110" i="4"/>
  <c r="AP157" i="4"/>
  <c r="AP64" i="4"/>
  <c r="AP108" i="4"/>
  <c r="AP152" i="4"/>
  <c r="AP115" i="4"/>
  <c r="AP88" i="4"/>
  <c r="AP22" i="4"/>
  <c r="AP75" i="4"/>
  <c r="AP132" i="4"/>
  <c r="AP38" i="4"/>
  <c r="AP83" i="4"/>
  <c r="AP126" i="4"/>
  <c r="AP18" i="4"/>
  <c r="AP66" i="4"/>
  <c r="AP111" i="4"/>
  <c r="AP11" i="4"/>
  <c r="AP69" i="4"/>
  <c r="AP114" i="4"/>
  <c r="AP81" i="4"/>
  <c r="AP28" i="4"/>
  <c r="AP80" i="4"/>
  <c r="AP141" i="4"/>
  <c r="AP40" i="4"/>
  <c r="AP86" i="4"/>
  <c r="AP133" i="4"/>
  <c r="AP24" i="4"/>
  <c r="AP71" i="4"/>
  <c r="AP117" i="4"/>
  <c r="AP19" i="4"/>
  <c r="AP94" i="4"/>
  <c r="AP31" i="4"/>
  <c r="AP85" i="4"/>
  <c r="AP142" i="4"/>
  <c r="AP43" i="4"/>
  <c r="AP91" i="4"/>
  <c r="AP134" i="4"/>
  <c r="AP25" i="4"/>
  <c r="AP74" i="4"/>
  <c r="AP119" i="4"/>
  <c r="AP27" i="4"/>
  <c r="AP77" i="4"/>
  <c r="AP122" i="4"/>
  <c r="AP26" i="4"/>
  <c r="AP42" i="4"/>
  <c r="AP93" i="4"/>
  <c r="AP149" i="4"/>
  <c r="AP50" i="4"/>
  <c r="AP101" i="4"/>
  <c r="AP144" i="4"/>
  <c r="AP35" i="4"/>
  <c r="AP84" i="4"/>
  <c r="AP127" i="4"/>
  <c r="AP30" i="4"/>
  <c r="AP79" i="4"/>
  <c r="AP128" i="4"/>
  <c r="B18" i="5"/>
  <c r="B35" i="5" s="1"/>
  <c r="B261" i="2"/>
  <c r="B262" i="2" s="1"/>
  <c r="B143" i="2"/>
  <c r="B134" i="2"/>
  <c r="H37" i="1" s="1"/>
  <c r="B95" i="2"/>
  <c r="B107" i="2"/>
  <c r="AJ49" i="5"/>
  <c r="AK49" i="5" s="1"/>
  <c r="AJ8" i="5"/>
  <c r="AK8" i="5" s="1"/>
  <c r="AJ163" i="5"/>
  <c r="AK163" i="5" s="1"/>
  <c r="AJ130" i="5"/>
  <c r="AK130" i="5" s="1"/>
  <c r="AJ114" i="5"/>
  <c r="AK114" i="5" s="1"/>
  <c r="AJ94" i="5"/>
  <c r="AK94" i="5" s="1"/>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54" i="5"/>
  <c r="AL54" i="5"/>
  <c r="AK22" i="5"/>
  <c r="AL22" i="5"/>
  <c r="AL187" i="5"/>
  <c r="AK187" i="5"/>
  <c r="AK167" i="5"/>
  <c r="AL167" i="5"/>
  <c r="AK149" i="5"/>
  <c r="AL149" i="5"/>
  <c r="AL132" i="5"/>
  <c r="AK132" i="5"/>
  <c r="AL124" i="5"/>
  <c r="AK124" i="5"/>
  <c r="AL116" i="5"/>
  <c r="AK116"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70" i="5" l="1"/>
  <c r="AL100" i="5"/>
  <c r="AL94" i="5"/>
  <c r="AL38" i="5"/>
  <c r="AK108" i="5"/>
  <c r="AK118" i="5"/>
  <c r="AL106" i="5"/>
  <c r="AK63" i="5"/>
  <c r="AK81" i="5"/>
  <c r="B38" i="5"/>
  <c r="B39" i="5" s="1"/>
  <c r="B34" i="5"/>
  <c r="AK191" i="5"/>
  <c r="AL130" i="5"/>
  <c r="AK7" i="5"/>
  <c r="AL114" i="5"/>
  <c r="AK92" i="5"/>
  <c r="AL59" i="5"/>
  <c r="AL49" i="5"/>
  <c r="AK128" i="5"/>
  <c r="AL171" i="5"/>
  <c r="AL37" i="5"/>
  <c r="AL161" i="5"/>
  <c r="AK195" i="5"/>
  <c r="AK140" i="5"/>
  <c r="AL33" i="5"/>
  <c r="AL163" i="5"/>
  <c r="B96" i="2"/>
  <c r="B100" i="2" s="1"/>
  <c r="B91" i="2"/>
  <c r="B92" i="2" s="1"/>
  <c r="B53" i="2"/>
  <c r="B222" i="2" s="1"/>
  <c r="B70" i="2"/>
  <c r="B79" i="2" s="1"/>
  <c r="B83" i="2" s="1"/>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B216"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AS15" i="4" s="1"/>
  <c r="S63" i="4"/>
  <c r="S64" i="4"/>
  <c r="AS64" i="4" s="1"/>
  <c r="S16" i="4"/>
  <c r="S17" i="4"/>
  <c r="S18" i="4"/>
  <c r="AS18" i="4" s="1"/>
  <c r="S19" i="4"/>
  <c r="S20" i="4"/>
  <c r="S21" i="4"/>
  <c r="S22" i="4"/>
  <c r="S23" i="4"/>
  <c r="S24" i="4"/>
  <c r="AS24" i="4" s="1"/>
  <c r="S25" i="4"/>
  <c r="AS25" i="4" s="1"/>
  <c r="S26" i="4"/>
  <c r="AS26" i="4" s="1"/>
  <c r="S27" i="4"/>
  <c r="AS27" i="4" s="1"/>
  <c r="S28" i="4"/>
  <c r="S29" i="4"/>
  <c r="S30" i="4"/>
  <c r="S31" i="4"/>
  <c r="S32" i="4"/>
  <c r="S33" i="4"/>
  <c r="S34" i="4"/>
  <c r="S35" i="4"/>
  <c r="AS35" i="4" s="1"/>
  <c r="S36" i="4"/>
  <c r="AS36" i="4" s="1"/>
  <c r="S37" i="4"/>
  <c r="AS37" i="4" s="1"/>
  <c r="S38" i="4"/>
  <c r="AS38" i="4" s="1"/>
  <c r="S39" i="4"/>
  <c r="S40" i="4"/>
  <c r="AS40" i="4" s="1"/>
  <c r="S41" i="4"/>
  <c r="S42" i="4"/>
  <c r="S43" i="4"/>
  <c r="S44" i="4"/>
  <c r="S45" i="4"/>
  <c r="S46" i="4"/>
  <c r="S47" i="4"/>
  <c r="AS47" i="4" s="1"/>
  <c r="S48" i="4"/>
  <c r="AS48" i="4" s="1"/>
  <c r="S49" i="4"/>
  <c r="AS49" i="4" s="1"/>
  <c r="S50" i="4"/>
  <c r="S51" i="4"/>
  <c r="AS51" i="4" s="1"/>
  <c r="S52" i="4"/>
  <c r="S53" i="4"/>
  <c r="S54" i="4"/>
  <c r="S55" i="4"/>
  <c r="S56" i="4"/>
  <c r="AS56" i="4" s="1"/>
  <c r="S57" i="4"/>
  <c r="S58" i="4"/>
  <c r="S60" i="4"/>
  <c r="AS60" i="4" s="1"/>
  <c r="S67" i="4"/>
  <c r="AS67" i="4" s="1"/>
  <c r="S62" i="4"/>
  <c r="S69" i="4"/>
  <c r="AS69" i="4" s="1"/>
  <c r="S87" i="4"/>
  <c r="AS87" i="4" s="1"/>
  <c r="S99" i="4"/>
  <c r="S120" i="4"/>
  <c r="AS120" i="4" s="1"/>
  <c r="S130" i="4"/>
  <c r="S134" i="4"/>
  <c r="S68" i="4"/>
  <c r="S74" i="4"/>
  <c r="S78" i="4"/>
  <c r="S82" i="4"/>
  <c r="AS82" i="4" s="1"/>
  <c r="S86" i="4"/>
  <c r="AS86" i="4" s="1"/>
  <c r="S90" i="4"/>
  <c r="S94" i="4"/>
  <c r="AS94" i="4" s="1"/>
  <c r="S98" i="4"/>
  <c r="S102" i="4"/>
  <c r="S109" i="4"/>
  <c r="AS109" i="4" s="1"/>
  <c r="S110" i="4"/>
  <c r="S119" i="4"/>
  <c r="AS119" i="4" s="1"/>
  <c r="S128" i="4"/>
  <c r="S137" i="4"/>
  <c r="S59" i="4"/>
  <c r="S65" i="4"/>
  <c r="AS65" i="4" s="1"/>
  <c r="S66" i="4"/>
  <c r="S71" i="4"/>
  <c r="S72" i="4"/>
  <c r="AS72" i="4" s="1"/>
  <c r="S76" i="4"/>
  <c r="AS76" i="4" s="1"/>
  <c r="S80" i="4"/>
  <c r="AS80" i="4" s="1"/>
  <c r="S84" i="4"/>
  <c r="S88" i="4"/>
  <c r="S92" i="4"/>
  <c r="S96" i="4"/>
  <c r="S100" i="4"/>
  <c r="S105" i="4"/>
  <c r="S106" i="4"/>
  <c r="S112" i="4"/>
  <c r="AS112" i="4" s="1"/>
  <c r="S121" i="4"/>
  <c r="AS121" i="4" s="1"/>
  <c r="S122" i="4"/>
  <c r="AS122" i="4" s="1"/>
  <c r="S123" i="4"/>
  <c r="AS123" i="4" s="1"/>
  <c r="S124" i="4"/>
  <c r="AS124" i="4" s="1"/>
  <c r="S125" i="4"/>
  <c r="AS125" i="4" s="1"/>
  <c r="S126" i="4"/>
  <c r="S135" i="4"/>
  <c r="S139" i="4"/>
  <c r="S140" i="4"/>
  <c r="S144" i="4"/>
  <c r="S149" i="4"/>
  <c r="AS149" i="4" s="1"/>
  <c r="S153" i="4"/>
  <c r="AS153" i="4" s="1"/>
  <c r="S8" i="4"/>
  <c r="S61" i="4"/>
  <c r="AS61" i="4" s="1"/>
  <c r="S70" i="4"/>
  <c r="AS70" i="4" s="1"/>
  <c r="S75" i="4"/>
  <c r="AS75" i="4" s="1"/>
  <c r="S79" i="4"/>
  <c r="AS79" i="4" s="1"/>
  <c r="S83" i="4"/>
  <c r="S91" i="4"/>
  <c r="S95" i="4"/>
  <c r="S103" i="4"/>
  <c r="S104" i="4"/>
  <c r="S111" i="4"/>
  <c r="S129" i="4"/>
  <c r="AS129" i="4" s="1"/>
  <c r="S131" i="4"/>
  <c r="AS131" i="4" s="1"/>
  <c r="S132" i="4"/>
  <c r="S133" i="4"/>
  <c r="AS133" i="4" s="1"/>
  <c r="S77" i="4"/>
  <c r="AS77" i="4" s="1"/>
  <c r="S93" i="4"/>
  <c r="S107" i="4"/>
  <c r="S115" i="4"/>
  <c r="S127" i="4"/>
  <c r="S136" i="4"/>
  <c r="S142" i="4"/>
  <c r="S145" i="4"/>
  <c r="AS145" i="4" s="1"/>
  <c r="S156" i="4"/>
  <c r="S9" i="4"/>
  <c r="AS9" i="4" s="1"/>
  <c r="S10" i="4"/>
  <c r="AS10" i="4" s="1"/>
  <c r="S81" i="4"/>
  <c r="S97" i="4"/>
  <c r="S114" i="4"/>
  <c r="S118" i="4"/>
  <c r="S138" i="4"/>
  <c r="S141" i="4"/>
  <c r="S152" i="4"/>
  <c r="S155" i="4"/>
  <c r="S13" i="4"/>
  <c r="AS13" i="4" s="1"/>
  <c r="S14" i="4"/>
  <c r="AS14" i="4" s="1"/>
  <c r="S85" i="4"/>
  <c r="AS85" i="4" s="1"/>
  <c r="S101" i="4"/>
  <c r="AS101" i="4" s="1"/>
  <c r="S113" i="4"/>
  <c r="S117" i="4"/>
  <c r="AS117" i="4" s="1"/>
  <c r="S147" i="4"/>
  <c r="S148" i="4"/>
  <c r="S151" i="4"/>
  <c r="AS151" i="4" s="1"/>
  <c r="S154" i="4"/>
  <c r="AS154" i="4" s="1"/>
  <c r="S12" i="4"/>
  <c r="AS12" i="4" s="1"/>
  <c r="S73" i="4"/>
  <c r="S89" i="4"/>
  <c r="AS89" i="4" s="1"/>
  <c r="S108" i="4"/>
  <c r="AS108" i="4" s="1"/>
  <c r="S116" i="4"/>
  <c r="AS116" i="4" s="1"/>
  <c r="S143" i="4"/>
  <c r="AS143" i="4" s="1"/>
  <c r="S146" i="4"/>
  <c r="AS146" i="4" s="1"/>
  <c r="S150" i="4"/>
  <c r="S157" i="4"/>
  <c r="AS157" i="4" s="1"/>
  <c r="S11" i="4"/>
  <c r="AS11" i="4" s="1"/>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G500" i="5" l="1"/>
  <c r="AG515" i="5"/>
  <c r="AG469" i="5"/>
  <c r="AG254" i="5"/>
  <c r="AG488" i="5"/>
  <c r="AG253" i="5"/>
  <c r="AJ73" i="4"/>
  <c r="AL73" i="4"/>
  <c r="AJ155" i="4"/>
  <c r="AL155" i="4"/>
  <c r="AJ142" i="4"/>
  <c r="AL142" i="4"/>
  <c r="AL104" i="4"/>
  <c r="AJ104" i="4"/>
  <c r="AL144" i="4"/>
  <c r="AJ144" i="4"/>
  <c r="AJ105" i="4"/>
  <c r="AL105" i="4"/>
  <c r="AJ59" i="4"/>
  <c r="AL59" i="4"/>
  <c r="AJ78" i="4"/>
  <c r="AL78" i="4"/>
  <c r="AJ58" i="4"/>
  <c r="AL58" i="4"/>
  <c r="AJ46" i="4"/>
  <c r="AL46" i="4"/>
  <c r="AJ34" i="4"/>
  <c r="AL34" i="4"/>
  <c r="AJ22" i="4"/>
  <c r="AL22" i="4"/>
  <c r="AS73" i="4"/>
  <c r="AL12" i="4"/>
  <c r="AJ12" i="4"/>
  <c r="AL152" i="4"/>
  <c r="AJ152" i="4"/>
  <c r="AL136" i="4"/>
  <c r="AJ136" i="4"/>
  <c r="AJ103" i="4"/>
  <c r="AL103" i="4"/>
  <c r="AJ140" i="4"/>
  <c r="AL140" i="4"/>
  <c r="AL100" i="4"/>
  <c r="AJ100" i="4"/>
  <c r="AJ137" i="4"/>
  <c r="AL137" i="4"/>
  <c r="AJ74" i="4"/>
  <c r="AL74" i="4"/>
  <c r="AJ57" i="4"/>
  <c r="AL57" i="4"/>
  <c r="AJ45" i="4"/>
  <c r="AL45" i="4"/>
  <c r="AJ33" i="4"/>
  <c r="AL33" i="4"/>
  <c r="AJ21" i="4"/>
  <c r="AL21" i="4"/>
  <c r="AS104" i="4"/>
  <c r="AS74" i="4"/>
  <c r="AJ154" i="4"/>
  <c r="AL154" i="4"/>
  <c r="AJ141" i="4"/>
  <c r="AL141" i="4"/>
  <c r="AJ127" i="4"/>
  <c r="AL127" i="4"/>
  <c r="AJ95" i="4"/>
  <c r="AL95" i="4"/>
  <c r="AJ139" i="4"/>
  <c r="AL139" i="4"/>
  <c r="AL96" i="4"/>
  <c r="AJ96" i="4"/>
  <c r="AL128" i="4"/>
  <c r="AJ128" i="4"/>
  <c r="AL68" i="4"/>
  <c r="AJ68" i="4"/>
  <c r="AJ56" i="4"/>
  <c r="AL56" i="4"/>
  <c r="AL44" i="4"/>
  <c r="AJ44" i="4"/>
  <c r="AJ32" i="4"/>
  <c r="AL32" i="4"/>
  <c r="AL20" i="4"/>
  <c r="AJ20" i="4"/>
  <c r="AS152" i="4"/>
  <c r="AS128" i="4"/>
  <c r="AJ151" i="4"/>
  <c r="AL151" i="4"/>
  <c r="AJ138" i="4"/>
  <c r="AL138" i="4"/>
  <c r="AJ115" i="4"/>
  <c r="AL115" i="4"/>
  <c r="AJ91" i="4"/>
  <c r="AL91" i="4"/>
  <c r="AJ135" i="4"/>
  <c r="AL135" i="4"/>
  <c r="AL92" i="4"/>
  <c r="AJ92" i="4"/>
  <c r="AJ119" i="4"/>
  <c r="AL119" i="4"/>
  <c r="AJ134" i="4"/>
  <c r="AL134" i="4"/>
  <c r="AJ55" i="4"/>
  <c r="AL55" i="4"/>
  <c r="AJ43" i="4"/>
  <c r="AL43" i="4"/>
  <c r="AJ31" i="4"/>
  <c r="AL31" i="4"/>
  <c r="AJ19" i="4"/>
  <c r="AL19" i="4"/>
  <c r="AS22" i="4"/>
  <c r="AS43" i="4"/>
  <c r="AS32" i="4"/>
  <c r="AS127" i="4"/>
  <c r="AJ11" i="4"/>
  <c r="AL11" i="4"/>
  <c r="AL148" i="4"/>
  <c r="AJ148" i="4"/>
  <c r="AJ118" i="4"/>
  <c r="AL118" i="4"/>
  <c r="AJ107" i="4"/>
  <c r="AL107" i="4"/>
  <c r="AJ83" i="4"/>
  <c r="AL83" i="4"/>
  <c r="AJ126" i="4"/>
  <c r="AL126" i="4"/>
  <c r="AL88" i="4"/>
  <c r="AJ88" i="4"/>
  <c r="AJ110" i="4"/>
  <c r="AL110" i="4"/>
  <c r="AJ130" i="4"/>
  <c r="AL130" i="4"/>
  <c r="AJ54" i="4"/>
  <c r="AL54" i="4"/>
  <c r="AJ42" i="4"/>
  <c r="AL42" i="4"/>
  <c r="AJ30" i="4"/>
  <c r="AL30" i="4"/>
  <c r="AJ18" i="4"/>
  <c r="AL18" i="4"/>
  <c r="AS115" i="4"/>
  <c r="AS78" i="4"/>
  <c r="AS83" i="4"/>
  <c r="AS91" i="4"/>
  <c r="AS46" i="4"/>
  <c r="AS88" i="4"/>
  <c r="AS45" i="4"/>
  <c r="AS130" i="4"/>
  <c r="AJ157" i="4"/>
  <c r="AL157" i="4"/>
  <c r="AJ147" i="4"/>
  <c r="AL147" i="4"/>
  <c r="AJ114" i="4"/>
  <c r="AL114" i="4"/>
  <c r="AJ93" i="4"/>
  <c r="AL93" i="4"/>
  <c r="AJ79" i="4"/>
  <c r="AL79" i="4"/>
  <c r="AJ125" i="4"/>
  <c r="AL125" i="4"/>
  <c r="AL84" i="4"/>
  <c r="AJ84" i="4"/>
  <c r="AJ109" i="4"/>
  <c r="AL109" i="4"/>
  <c r="AL120" i="4"/>
  <c r="AJ120" i="4"/>
  <c r="AJ53" i="4"/>
  <c r="AL53" i="4"/>
  <c r="AJ41" i="4"/>
  <c r="AL41" i="4"/>
  <c r="AJ29" i="4"/>
  <c r="AL29" i="4"/>
  <c r="AJ17" i="4"/>
  <c r="AL17" i="4"/>
  <c r="AS118" i="4"/>
  <c r="AS126" i="4"/>
  <c r="AS134" i="4"/>
  <c r="AS139" i="4"/>
  <c r="AS136" i="4"/>
  <c r="AS93" i="4"/>
  <c r="AS135" i="4"/>
  <c r="AJ150" i="4"/>
  <c r="AL150" i="4"/>
  <c r="AJ117" i="4"/>
  <c r="AL117" i="4"/>
  <c r="AJ97" i="4"/>
  <c r="AL97" i="4"/>
  <c r="AJ77" i="4"/>
  <c r="AL77" i="4"/>
  <c r="AJ75" i="4"/>
  <c r="AL75" i="4"/>
  <c r="AL124" i="4"/>
  <c r="AJ124" i="4"/>
  <c r="AJ80" i="4"/>
  <c r="AL80" i="4"/>
  <c r="AJ102" i="4"/>
  <c r="AL102" i="4"/>
  <c r="AJ99" i="4"/>
  <c r="AL99" i="4"/>
  <c r="AL52" i="4"/>
  <c r="AJ52" i="4"/>
  <c r="AJ40" i="4"/>
  <c r="AL40" i="4"/>
  <c r="AL28" i="4"/>
  <c r="AJ28" i="4"/>
  <c r="AL16" i="4"/>
  <c r="AJ16" i="4"/>
  <c r="AS16" i="4"/>
  <c r="AS29" i="4"/>
  <c r="AS31" i="4"/>
  <c r="AS33" i="4"/>
  <c r="AS142" i="4"/>
  <c r="AS141" i="4"/>
  <c r="AS96" i="4"/>
  <c r="AS53" i="4"/>
  <c r="AJ146" i="4"/>
  <c r="AL146" i="4"/>
  <c r="AJ113" i="4"/>
  <c r="AL113" i="4"/>
  <c r="AJ81" i="4"/>
  <c r="AL81" i="4"/>
  <c r="AJ133" i="4"/>
  <c r="AL133" i="4"/>
  <c r="AJ70" i="4"/>
  <c r="AL70" i="4"/>
  <c r="AJ123" i="4"/>
  <c r="AL123" i="4"/>
  <c r="AL76" i="4"/>
  <c r="AJ76" i="4"/>
  <c r="AJ98" i="4"/>
  <c r="AL98" i="4"/>
  <c r="AJ87" i="4"/>
  <c r="AL87" i="4"/>
  <c r="AJ51" i="4"/>
  <c r="AL51" i="4"/>
  <c r="AJ39" i="4"/>
  <c r="AL39" i="4"/>
  <c r="AJ27" i="4"/>
  <c r="AL27" i="4"/>
  <c r="AJ64" i="4"/>
  <c r="AL64" i="4"/>
  <c r="AS81" i="4"/>
  <c r="AS30" i="4"/>
  <c r="AS34" i="4"/>
  <c r="AS44" i="4"/>
  <c r="AS52" i="4"/>
  <c r="AS57" i="4"/>
  <c r="AS39" i="4"/>
  <c r="AS99" i="4"/>
  <c r="AS54" i="4"/>
  <c r="AS144" i="4"/>
  <c r="AJ143" i="4"/>
  <c r="AL143" i="4"/>
  <c r="AJ101" i="4"/>
  <c r="AL101" i="4"/>
  <c r="AJ10" i="4"/>
  <c r="AL10" i="4"/>
  <c r="AL132" i="4"/>
  <c r="AJ132" i="4"/>
  <c r="AJ61" i="4"/>
  <c r="AL61" i="4"/>
  <c r="AJ122" i="4"/>
  <c r="AL122" i="4"/>
  <c r="AJ72" i="4"/>
  <c r="AL72" i="4"/>
  <c r="AJ94" i="4"/>
  <c r="AL94" i="4"/>
  <c r="AJ69" i="4"/>
  <c r="AL69" i="4"/>
  <c r="AJ50" i="4"/>
  <c r="AL50" i="4"/>
  <c r="AJ38" i="4"/>
  <c r="AL38" i="4"/>
  <c r="AJ26" i="4"/>
  <c r="AL26" i="4"/>
  <c r="AJ63" i="4"/>
  <c r="AL63" i="4"/>
  <c r="AS84" i="4"/>
  <c r="AS92" i="4"/>
  <c r="AS97" i="4"/>
  <c r="AS100" i="4"/>
  <c r="AS105" i="4"/>
  <c r="AS17" i="4"/>
  <c r="AS147" i="4"/>
  <c r="AS102" i="4"/>
  <c r="AS59" i="4"/>
  <c r="AL116" i="4"/>
  <c r="AJ116" i="4"/>
  <c r="AJ85" i="4"/>
  <c r="AL85" i="4"/>
  <c r="AJ9" i="4"/>
  <c r="AL9" i="4"/>
  <c r="AJ131" i="4"/>
  <c r="AL131" i="4"/>
  <c r="AJ8" i="4"/>
  <c r="AL8" i="4"/>
  <c r="AJ121" i="4"/>
  <c r="AL121" i="4"/>
  <c r="AJ71" i="4"/>
  <c r="AL71" i="4"/>
  <c r="AJ90" i="4"/>
  <c r="AL90" i="4"/>
  <c r="AJ62" i="4"/>
  <c r="AL62" i="4"/>
  <c r="AJ49" i="4"/>
  <c r="AL49" i="4"/>
  <c r="AJ37" i="4"/>
  <c r="AL37" i="4"/>
  <c r="AJ25" i="4"/>
  <c r="AL25" i="4"/>
  <c r="AJ15" i="4"/>
  <c r="AL15" i="4"/>
  <c r="AS42" i="4"/>
  <c r="AS132" i="4"/>
  <c r="AS137" i="4"/>
  <c r="AS140" i="4"/>
  <c r="AS148" i="4"/>
  <c r="AS41" i="4"/>
  <c r="AS19" i="4"/>
  <c r="AS150" i="4"/>
  <c r="AS107" i="4"/>
  <c r="AS62" i="4"/>
  <c r="AJ108" i="4"/>
  <c r="AL108" i="4"/>
  <c r="AJ14" i="4"/>
  <c r="AL14" i="4"/>
  <c r="AL156" i="4"/>
  <c r="AJ156" i="4"/>
  <c r="AL129" i="4"/>
  <c r="AJ129" i="4"/>
  <c r="AL153" i="4"/>
  <c r="AJ153" i="4"/>
  <c r="AL112" i="4"/>
  <c r="AJ112" i="4"/>
  <c r="AJ66" i="4"/>
  <c r="AL66" i="4"/>
  <c r="AJ86" i="4"/>
  <c r="AL86" i="4"/>
  <c r="AJ67" i="4"/>
  <c r="AL67" i="4"/>
  <c r="AJ48" i="4"/>
  <c r="AL48" i="4"/>
  <c r="AL36" i="4"/>
  <c r="AJ36" i="4"/>
  <c r="AJ24" i="4"/>
  <c r="AL24" i="4"/>
  <c r="AS90" i="4"/>
  <c r="AS50" i="4"/>
  <c r="AS55" i="4"/>
  <c r="AS58" i="4"/>
  <c r="AS63" i="4"/>
  <c r="AS66" i="4"/>
  <c r="AS156" i="4"/>
  <c r="AS20" i="4"/>
  <c r="AS21" i="4"/>
  <c r="AS155" i="4"/>
  <c r="AS110" i="4"/>
  <c r="AJ89" i="4"/>
  <c r="AL89" i="4"/>
  <c r="AJ13" i="4"/>
  <c r="AL13" i="4"/>
  <c r="AL145" i="4"/>
  <c r="AJ145" i="4"/>
  <c r="AJ111" i="4"/>
  <c r="AL111" i="4"/>
  <c r="AJ149" i="4"/>
  <c r="AL149" i="4"/>
  <c r="AJ106" i="4"/>
  <c r="AL106" i="4"/>
  <c r="AJ65" i="4"/>
  <c r="AL65" i="4"/>
  <c r="AJ82" i="4"/>
  <c r="AL82" i="4"/>
  <c r="AL60" i="4"/>
  <c r="AJ60" i="4"/>
  <c r="AJ47" i="4"/>
  <c r="AL47" i="4"/>
  <c r="AJ35" i="4"/>
  <c r="AL35" i="4"/>
  <c r="AJ23" i="4"/>
  <c r="AL23" i="4"/>
  <c r="AS138" i="4"/>
  <c r="AS95" i="4"/>
  <c r="AS98" i="4"/>
  <c r="AS103" i="4"/>
  <c r="AS106" i="4"/>
  <c r="AS111" i="4"/>
  <c r="AS114" i="4"/>
  <c r="AS71" i="4"/>
  <c r="AS113" i="4"/>
  <c r="AS68" i="4"/>
  <c r="AS28" i="4"/>
  <c r="AS23" i="4"/>
  <c r="AS8" i="4"/>
  <c r="B206" i="2"/>
  <c r="B208" i="2" s="1"/>
  <c r="B139" i="2"/>
  <c r="AM136" i="4"/>
  <c r="AN136" i="4" s="1"/>
  <c r="AQ136" i="4"/>
  <c r="V136" i="4"/>
  <c r="AM104" i="4"/>
  <c r="AN104" i="4" s="1"/>
  <c r="AQ104" i="4"/>
  <c r="V104" i="4"/>
  <c r="AM72" i="4"/>
  <c r="AQ72" i="4"/>
  <c r="V72" i="4"/>
  <c r="AM36" i="4"/>
  <c r="AQ36" i="4"/>
  <c r="V36" i="4"/>
  <c r="AM15" i="4"/>
  <c r="AN15" i="4" s="1"/>
  <c r="AQ15" i="4"/>
  <c r="V15" i="4"/>
  <c r="AM138" i="4"/>
  <c r="AN138" i="4" s="1"/>
  <c r="V138" i="4"/>
  <c r="AQ138" i="4"/>
  <c r="AM106" i="4"/>
  <c r="AQ106" i="4"/>
  <c r="V106" i="4"/>
  <c r="AM74" i="4"/>
  <c r="AQ74" i="4"/>
  <c r="V74" i="4"/>
  <c r="AM42" i="4"/>
  <c r="AN42" i="4" s="1"/>
  <c r="AQ42" i="4"/>
  <c r="V42" i="4"/>
  <c r="AM24" i="4"/>
  <c r="AQ24" i="4"/>
  <c r="V24" i="4"/>
  <c r="AM148" i="4"/>
  <c r="AQ148" i="4"/>
  <c r="V148" i="4"/>
  <c r="AM116" i="4"/>
  <c r="AQ116" i="4"/>
  <c r="V116" i="4"/>
  <c r="AM84" i="4"/>
  <c r="AN84" i="4" s="1"/>
  <c r="AQ84" i="4"/>
  <c r="V84" i="4"/>
  <c r="AM52" i="4"/>
  <c r="AQ52" i="4"/>
  <c r="V52" i="4"/>
  <c r="AM27" i="4"/>
  <c r="AQ27" i="4"/>
  <c r="V27" i="4"/>
  <c r="AM150" i="4"/>
  <c r="AQ150" i="4"/>
  <c r="V150" i="4"/>
  <c r="AM118" i="4"/>
  <c r="AN118" i="4" s="1"/>
  <c r="V118" i="4"/>
  <c r="AQ118" i="4"/>
  <c r="AM86" i="4"/>
  <c r="AQ86" i="4"/>
  <c r="V86" i="4"/>
  <c r="AQ54" i="4"/>
  <c r="AM54" i="4"/>
  <c r="V54" i="4"/>
  <c r="AM26" i="4"/>
  <c r="AQ26" i="4"/>
  <c r="V26" i="4"/>
  <c r="AM11" i="4"/>
  <c r="AQ11" i="4"/>
  <c r="V11" i="4"/>
  <c r="AM153" i="4"/>
  <c r="AQ153" i="4"/>
  <c r="V153" i="4"/>
  <c r="AM145" i="4"/>
  <c r="AQ145" i="4"/>
  <c r="V145" i="4"/>
  <c r="AM137" i="4"/>
  <c r="AN137" i="4" s="1"/>
  <c r="AQ137" i="4"/>
  <c r="V137" i="4"/>
  <c r="AM129" i="4"/>
  <c r="AQ129" i="4"/>
  <c r="V129" i="4"/>
  <c r="AM121" i="4"/>
  <c r="AQ121" i="4"/>
  <c r="V121" i="4"/>
  <c r="AM113" i="4"/>
  <c r="AN113" i="4" s="1"/>
  <c r="AQ113" i="4"/>
  <c r="V113" i="4"/>
  <c r="AM105" i="4"/>
  <c r="AQ105" i="4"/>
  <c r="V105" i="4"/>
  <c r="AM97" i="4"/>
  <c r="AQ97" i="4"/>
  <c r="V97" i="4"/>
  <c r="AM89" i="4"/>
  <c r="AQ89" i="4"/>
  <c r="V89" i="4"/>
  <c r="AM81" i="4"/>
  <c r="AN81" i="4" s="1"/>
  <c r="AQ81" i="4"/>
  <c r="V81" i="4"/>
  <c r="AM73" i="4"/>
  <c r="AN73" i="4" s="1"/>
  <c r="AQ73" i="4"/>
  <c r="V73" i="4"/>
  <c r="AM65" i="4"/>
  <c r="AN65" i="4" s="1"/>
  <c r="AQ65" i="4"/>
  <c r="V65" i="4"/>
  <c r="AM57" i="4"/>
  <c r="AN57" i="4" s="1"/>
  <c r="AQ57" i="4"/>
  <c r="V57" i="4"/>
  <c r="AM49" i="4"/>
  <c r="AN49" i="4" s="1"/>
  <c r="AQ49" i="4"/>
  <c r="V49" i="4"/>
  <c r="AM41" i="4"/>
  <c r="AQ41" i="4"/>
  <c r="V41" i="4"/>
  <c r="AM25" i="4"/>
  <c r="AN25" i="4" s="1"/>
  <c r="AQ25" i="4"/>
  <c r="V25" i="4"/>
  <c r="AM7" i="4"/>
  <c r="V7" i="4"/>
  <c r="AM10" i="4"/>
  <c r="AN10" i="4" s="1"/>
  <c r="AQ10" i="4"/>
  <c r="V10" i="4"/>
  <c r="AM128" i="4"/>
  <c r="AQ128" i="4"/>
  <c r="V128" i="4"/>
  <c r="AM96" i="4"/>
  <c r="AQ96" i="4"/>
  <c r="V96" i="4"/>
  <c r="AM64" i="4"/>
  <c r="AQ64" i="4"/>
  <c r="V64" i="4"/>
  <c r="AM32" i="4"/>
  <c r="AQ32" i="4"/>
  <c r="V32" i="4"/>
  <c r="AM12" i="4"/>
  <c r="AQ12" i="4"/>
  <c r="V12" i="4"/>
  <c r="AM130" i="4"/>
  <c r="AN130" i="4" s="1"/>
  <c r="AQ130" i="4"/>
  <c r="V130" i="4"/>
  <c r="AM98" i="4"/>
  <c r="AN98" i="4" s="1"/>
  <c r="AQ98" i="4"/>
  <c r="V98" i="4"/>
  <c r="AM66" i="4"/>
  <c r="AN66" i="4" s="1"/>
  <c r="AQ66" i="4"/>
  <c r="V66" i="4"/>
  <c r="AM39" i="4"/>
  <c r="AN39" i="4" s="1"/>
  <c r="AQ39" i="4"/>
  <c r="V39" i="4"/>
  <c r="AM21" i="4"/>
  <c r="AQ21" i="4"/>
  <c r="V21" i="4"/>
  <c r="AM140" i="4"/>
  <c r="V140" i="4"/>
  <c r="AQ140" i="4"/>
  <c r="AM108" i="4"/>
  <c r="AN108" i="4" s="1"/>
  <c r="AQ108" i="4"/>
  <c r="V108" i="4"/>
  <c r="AM76" i="4"/>
  <c r="AN76" i="4" s="1"/>
  <c r="AQ76" i="4"/>
  <c r="V76" i="4"/>
  <c r="AM44" i="4"/>
  <c r="AQ44" i="4"/>
  <c r="V44" i="4"/>
  <c r="AM20" i="4"/>
  <c r="AQ20" i="4"/>
  <c r="V20" i="4"/>
  <c r="AM142" i="4"/>
  <c r="AN142" i="4" s="1"/>
  <c r="AQ142" i="4"/>
  <c r="V142" i="4"/>
  <c r="AM110" i="4"/>
  <c r="AQ110" i="4"/>
  <c r="V110" i="4"/>
  <c r="AM78" i="4"/>
  <c r="AQ78" i="4"/>
  <c r="V78" i="4"/>
  <c r="AM46" i="4"/>
  <c r="AN46" i="4" s="1"/>
  <c r="AQ46" i="4"/>
  <c r="V46" i="4"/>
  <c r="AM23" i="4"/>
  <c r="AQ23" i="4"/>
  <c r="V23" i="4"/>
  <c r="AM9" i="4"/>
  <c r="AN9" i="4" s="1"/>
  <c r="AQ9" i="4"/>
  <c r="V9" i="4"/>
  <c r="AM151" i="4"/>
  <c r="AN151" i="4" s="1"/>
  <c r="V151" i="4"/>
  <c r="AQ151" i="4"/>
  <c r="AM143" i="4"/>
  <c r="AQ143" i="4"/>
  <c r="V143" i="4"/>
  <c r="AM135" i="4"/>
  <c r="AN135" i="4" s="1"/>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Q79" i="4"/>
  <c r="V79" i="4"/>
  <c r="AM71" i="4"/>
  <c r="AN71" i="4" s="1"/>
  <c r="AQ71" i="4"/>
  <c r="V71" i="4"/>
  <c r="AM63" i="4"/>
  <c r="AQ63" i="4"/>
  <c r="V63" i="4"/>
  <c r="AM55" i="4"/>
  <c r="AQ55" i="4"/>
  <c r="V55" i="4"/>
  <c r="AM47" i="4"/>
  <c r="AN47" i="4" s="1"/>
  <c r="AQ47" i="4"/>
  <c r="V47" i="4"/>
  <c r="AM38" i="4"/>
  <c r="AQ38" i="4"/>
  <c r="V38" i="4"/>
  <c r="AM22" i="4"/>
  <c r="AQ22" i="4"/>
  <c r="V22" i="4"/>
  <c r="AM152" i="4"/>
  <c r="AQ152" i="4"/>
  <c r="V152" i="4"/>
  <c r="AM120" i="4"/>
  <c r="V120" i="4"/>
  <c r="AQ120" i="4"/>
  <c r="AM88" i="4"/>
  <c r="AN88" i="4" s="1"/>
  <c r="AQ88" i="4"/>
  <c r="V88" i="4"/>
  <c r="AM56" i="4"/>
  <c r="AN56" i="4" s="1"/>
  <c r="AQ56" i="4"/>
  <c r="V56" i="4"/>
  <c r="AM29" i="4"/>
  <c r="AN29" i="4" s="1"/>
  <c r="AQ29" i="4"/>
  <c r="V29" i="4"/>
  <c r="AM154" i="4"/>
  <c r="AQ154" i="4"/>
  <c r="V154" i="4"/>
  <c r="AM122" i="4"/>
  <c r="V122" i="4"/>
  <c r="AQ122" i="4"/>
  <c r="AM90" i="4"/>
  <c r="AQ90" i="4"/>
  <c r="V90" i="4"/>
  <c r="AM58" i="4"/>
  <c r="AN58" i="4" s="1"/>
  <c r="AQ58" i="4"/>
  <c r="V58" i="4"/>
  <c r="AM35" i="4"/>
  <c r="AN35" i="4" s="1"/>
  <c r="AQ35" i="4"/>
  <c r="V35" i="4"/>
  <c r="AM14" i="4"/>
  <c r="AQ14" i="4"/>
  <c r="V14" i="4"/>
  <c r="AM132" i="4"/>
  <c r="AN132" i="4" s="1"/>
  <c r="AQ132" i="4"/>
  <c r="V132" i="4"/>
  <c r="AM100" i="4"/>
  <c r="AQ100" i="4"/>
  <c r="V100" i="4"/>
  <c r="AM68" i="4"/>
  <c r="AN68" i="4" s="1"/>
  <c r="AQ68" i="4"/>
  <c r="V68" i="4"/>
  <c r="AM34" i="4"/>
  <c r="AN34" i="4" s="1"/>
  <c r="AQ34" i="4"/>
  <c r="V34" i="4"/>
  <c r="AM16" i="4"/>
  <c r="AQ16" i="4"/>
  <c r="V16" i="4"/>
  <c r="AM134" i="4"/>
  <c r="AN134" i="4" s="1"/>
  <c r="AQ134" i="4"/>
  <c r="V134" i="4"/>
  <c r="AM102" i="4"/>
  <c r="AN102" i="4" s="1"/>
  <c r="AQ102" i="4"/>
  <c r="V102" i="4"/>
  <c r="AM70" i="4"/>
  <c r="AQ70" i="4"/>
  <c r="V70" i="4"/>
  <c r="AM40" i="4"/>
  <c r="AQ40" i="4"/>
  <c r="V40" i="4"/>
  <c r="AM19" i="4"/>
  <c r="AQ19" i="4"/>
  <c r="V19" i="4"/>
  <c r="AM157" i="4"/>
  <c r="AN157" i="4" s="1"/>
  <c r="AQ157" i="4"/>
  <c r="V157" i="4"/>
  <c r="AM149" i="4"/>
  <c r="AN149" i="4" s="1"/>
  <c r="AQ149" i="4"/>
  <c r="V149" i="4"/>
  <c r="AM141" i="4"/>
  <c r="AN141" i="4" s="1"/>
  <c r="AQ141" i="4"/>
  <c r="V141" i="4"/>
  <c r="AM133" i="4"/>
  <c r="AQ133" i="4"/>
  <c r="V133" i="4"/>
  <c r="AM125" i="4"/>
  <c r="AN125" i="4" s="1"/>
  <c r="V125" i="4"/>
  <c r="AQ125" i="4"/>
  <c r="AM117" i="4"/>
  <c r="AN117" i="4" s="1"/>
  <c r="AQ117" i="4"/>
  <c r="V117" i="4"/>
  <c r="AM109" i="4"/>
  <c r="AN109" i="4" s="1"/>
  <c r="AQ109" i="4"/>
  <c r="V109" i="4"/>
  <c r="AM101" i="4"/>
  <c r="AN101" i="4" s="1"/>
  <c r="AQ101" i="4"/>
  <c r="V101" i="4"/>
  <c r="AM93" i="4"/>
  <c r="AN93" i="4" s="1"/>
  <c r="AQ93" i="4"/>
  <c r="V93" i="4"/>
  <c r="AM85" i="4"/>
  <c r="AQ85" i="4"/>
  <c r="V85" i="4"/>
  <c r="AM77" i="4"/>
  <c r="AN77" i="4" s="1"/>
  <c r="AQ77" i="4"/>
  <c r="V77" i="4"/>
  <c r="AM69" i="4"/>
  <c r="AN69" i="4" s="1"/>
  <c r="AQ69" i="4"/>
  <c r="V69" i="4"/>
  <c r="AM61" i="4"/>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Q18" i="4"/>
  <c r="V18" i="4"/>
  <c r="AM146" i="4"/>
  <c r="AQ146" i="4"/>
  <c r="V146" i="4"/>
  <c r="AM114" i="4"/>
  <c r="AQ114" i="4"/>
  <c r="V114" i="4"/>
  <c r="AM82" i="4"/>
  <c r="AQ82" i="4"/>
  <c r="V82" i="4"/>
  <c r="AM50" i="4"/>
  <c r="AN50" i="4" s="1"/>
  <c r="AQ50" i="4"/>
  <c r="V50" i="4"/>
  <c r="AM28" i="4"/>
  <c r="AN28" i="4" s="1"/>
  <c r="AQ28" i="4"/>
  <c r="V28" i="4"/>
  <c r="AM156" i="4"/>
  <c r="AN156" i="4" s="1"/>
  <c r="AQ156" i="4"/>
  <c r="V156" i="4"/>
  <c r="AM124" i="4"/>
  <c r="AN124" i="4" s="1"/>
  <c r="AQ124" i="4"/>
  <c r="V124" i="4"/>
  <c r="AM92" i="4"/>
  <c r="AQ92" i="4"/>
  <c r="V92" i="4"/>
  <c r="AM60" i="4"/>
  <c r="AQ60" i="4"/>
  <c r="V60" i="4"/>
  <c r="AM31" i="4"/>
  <c r="AN31" i="4" s="1"/>
  <c r="AQ31" i="4"/>
  <c r="V31" i="4"/>
  <c r="AM8" i="4"/>
  <c r="AQ8" i="4"/>
  <c r="V8" i="4"/>
  <c r="AM126" i="4"/>
  <c r="AN126" i="4" s="1"/>
  <c r="AQ126" i="4"/>
  <c r="V126" i="4"/>
  <c r="AM94" i="4"/>
  <c r="AN94" i="4" s="1"/>
  <c r="AQ94" i="4"/>
  <c r="V94" i="4"/>
  <c r="AM62" i="4"/>
  <c r="AN62" i="4" s="1"/>
  <c r="AQ62" i="4"/>
  <c r="V62" i="4"/>
  <c r="AM37" i="4"/>
  <c r="AQ37" i="4"/>
  <c r="V37" i="4"/>
  <c r="AM13" i="4"/>
  <c r="AQ13" i="4"/>
  <c r="V13" i="4"/>
  <c r="AM155" i="4"/>
  <c r="AQ155" i="4"/>
  <c r="V155" i="4"/>
  <c r="AM147" i="4"/>
  <c r="AQ147" i="4"/>
  <c r="V147" i="4"/>
  <c r="AM139" i="4"/>
  <c r="AQ139" i="4"/>
  <c r="V139" i="4"/>
  <c r="AM131" i="4"/>
  <c r="AN131" i="4" s="1"/>
  <c r="AQ131" i="4"/>
  <c r="V131" i="4"/>
  <c r="AM123" i="4"/>
  <c r="AQ123" i="4"/>
  <c r="V123" i="4"/>
  <c r="AM115" i="4"/>
  <c r="AQ115" i="4"/>
  <c r="V115" i="4"/>
  <c r="AM107" i="4"/>
  <c r="AQ107" i="4"/>
  <c r="V107" i="4"/>
  <c r="AM99" i="4"/>
  <c r="AN99" i="4" s="1"/>
  <c r="AQ99" i="4"/>
  <c r="V99" i="4"/>
  <c r="AM91" i="4"/>
  <c r="AQ91" i="4"/>
  <c r="V91" i="4"/>
  <c r="AM83" i="4"/>
  <c r="AN83" i="4" s="1"/>
  <c r="AQ83" i="4"/>
  <c r="V83" i="4"/>
  <c r="AM75" i="4"/>
  <c r="AQ75" i="4"/>
  <c r="V75" i="4"/>
  <c r="AM67" i="4"/>
  <c r="AN67" i="4" s="1"/>
  <c r="AQ67" i="4"/>
  <c r="V67" i="4"/>
  <c r="AM59" i="4"/>
  <c r="AQ59" i="4"/>
  <c r="V59" i="4"/>
  <c r="AM51" i="4"/>
  <c r="AQ51" i="4"/>
  <c r="V51" i="4"/>
  <c r="AM43" i="4"/>
  <c r="AQ43" i="4"/>
  <c r="V43" i="4"/>
  <c r="AQ30" i="4"/>
  <c r="AM30" i="4"/>
  <c r="AN30" i="4" s="1"/>
  <c r="V30" i="4"/>
  <c r="B195" i="2"/>
  <c r="Z7" i="5" s="1"/>
  <c r="B180" i="2"/>
  <c r="B186" i="2"/>
  <c r="B178" i="2"/>
  <c r="P7" i="5" s="1"/>
  <c r="AG541" i="5"/>
  <c r="AG496" i="5"/>
  <c r="AI496" i="5" s="1"/>
  <c r="AG434" i="5"/>
  <c r="AH434" i="5" s="1"/>
  <c r="AG438" i="5"/>
  <c r="AG373" i="5"/>
  <c r="AG149" i="5"/>
  <c r="AH149" i="5" s="1"/>
  <c r="AG551" i="5"/>
  <c r="AH551" i="5" s="1"/>
  <c r="AG499" i="5"/>
  <c r="AG558" i="5"/>
  <c r="AI558" i="5" s="1"/>
  <c r="AG386" i="5"/>
  <c r="AI386" i="5" s="1"/>
  <c r="AG364" i="5"/>
  <c r="AG241" i="5"/>
  <c r="AG156" i="5"/>
  <c r="AG524" i="5"/>
  <c r="AH524" i="5" s="1"/>
  <c r="AG466" i="5"/>
  <c r="AH466" i="5" s="1"/>
  <c r="AG521" i="5"/>
  <c r="AH521" i="5" s="1"/>
  <c r="AG309" i="5"/>
  <c r="AG293" i="5"/>
  <c r="AI293" i="5" s="1"/>
  <c r="AG363" i="5"/>
  <c r="B70" i="5"/>
  <c r="O11" i="5" s="1"/>
  <c r="Z11" i="5" s="1"/>
  <c r="AG8" i="5"/>
  <c r="AI8" i="5" s="1"/>
  <c r="AG35" i="5"/>
  <c r="AH35" i="5" s="1"/>
  <c r="AG26" i="5"/>
  <c r="AH26" i="5" s="1"/>
  <c r="AG34" i="5"/>
  <c r="AG42" i="5"/>
  <c r="AG32" i="5"/>
  <c r="AI32" i="5" s="1"/>
  <c r="AG48" i="5"/>
  <c r="AH48" i="5" s="1"/>
  <c r="AG46" i="5"/>
  <c r="AI46" i="5" s="1"/>
  <c r="AG63" i="5"/>
  <c r="AG71" i="5"/>
  <c r="AH71" i="5" s="1"/>
  <c r="AG83" i="5"/>
  <c r="AH83" i="5" s="1"/>
  <c r="AG105" i="5"/>
  <c r="AG121" i="5"/>
  <c r="AI121" i="5" s="1"/>
  <c r="AG137" i="5"/>
  <c r="AI137" i="5" s="1"/>
  <c r="AG152" i="5"/>
  <c r="AG168" i="5"/>
  <c r="AG193" i="5"/>
  <c r="AG57" i="5"/>
  <c r="AH57" i="5" s="1"/>
  <c r="AG91" i="5"/>
  <c r="AH91" i="5" s="1"/>
  <c r="AG102" i="5"/>
  <c r="AG118" i="5"/>
  <c r="AG144" i="5"/>
  <c r="AI144" i="5" s="1"/>
  <c r="AG154" i="5"/>
  <c r="AG162" i="5"/>
  <c r="AH162" i="5" s="1"/>
  <c r="AG182" i="5"/>
  <c r="AH182" i="5" s="1"/>
  <c r="AG61" i="5"/>
  <c r="AH61" i="5" s="1"/>
  <c r="AG78" i="5"/>
  <c r="AH78" i="5" s="1"/>
  <c r="AG87" i="5"/>
  <c r="AG97" i="5"/>
  <c r="AG113" i="5"/>
  <c r="AH113" i="5" s="1"/>
  <c r="AG136" i="5"/>
  <c r="AH136" i="5" s="1"/>
  <c r="AG163" i="5"/>
  <c r="AG180" i="5"/>
  <c r="AG49" i="5"/>
  <c r="AH49" i="5" s="1"/>
  <c r="AG12" i="5"/>
  <c r="AI12" i="5" s="1"/>
  <c r="AG23" i="5"/>
  <c r="AG21" i="5"/>
  <c r="AI21" i="5" s="1"/>
  <c r="AG29" i="5"/>
  <c r="AH29" i="5" s="1"/>
  <c r="AG37" i="5"/>
  <c r="AG20" i="5"/>
  <c r="AH20" i="5" s="1"/>
  <c r="AG36" i="5"/>
  <c r="AG51" i="5"/>
  <c r="AI51" i="5" s="1"/>
  <c r="AG58" i="5"/>
  <c r="AH58" i="5" s="1"/>
  <c r="AG66" i="5"/>
  <c r="AG74" i="5"/>
  <c r="AG88" i="5"/>
  <c r="AI88" i="5" s="1"/>
  <c r="AG106" i="5"/>
  <c r="AG122" i="5"/>
  <c r="AG148" i="5"/>
  <c r="AH148" i="5" s="1"/>
  <c r="AG158" i="5"/>
  <c r="AH158" i="5" s="1"/>
  <c r="AG186" i="5"/>
  <c r="AI186" i="5" s="1"/>
  <c r="AG45" i="5"/>
  <c r="AG77" i="5"/>
  <c r="AG96" i="5"/>
  <c r="AH96" i="5" s="1"/>
  <c r="AG112" i="5"/>
  <c r="AH112" i="5" s="1"/>
  <c r="AG127" i="5"/>
  <c r="AI127" i="5" s="1"/>
  <c r="AG145" i="5"/>
  <c r="AG157" i="5"/>
  <c r="AI157" i="5" s="1"/>
  <c r="AG174" i="5"/>
  <c r="AH174" i="5" s="1"/>
  <c r="AG43" i="5"/>
  <c r="AG65" i="5"/>
  <c r="AH65" i="5" s="1"/>
  <c r="AG79" i="5"/>
  <c r="AI79" i="5" s="1"/>
  <c r="AG89" i="5"/>
  <c r="AG98" i="5"/>
  <c r="AG114" i="5"/>
  <c r="AG146" i="5"/>
  <c r="AH146" i="5" s="1"/>
  <c r="AG164" i="5"/>
  <c r="AH164" i="5" s="1"/>
  <c r="AG183" i="5"/>
  <c r="AG55" i="5"/>
  <c r="AG72" i="5"/>
  <c r="AI72" i="5" s="1"/>
  <c r="AG93" i="5"/>
  <c r="AG109" i="5"/>
  <c r="AH109" i="5" s="1"/>
  <c r="AG125" i="5"/>
  <c r="AH125" i="5" s="1"/>
  <c r="AG133" i="5"/>
  <c r="AI133" i="5" s="1"/>
  <c r="AG141" i="5"/>
  <c r="AH141" i="5" s="1"/>
  <c r="AG161" i="5"/>
  <c r="AG172" i="5"/>
  <c r="AG181" i="5"/>
  <c r="AH181" i="5" s="1"/>
  <c r="AG192" i="5"/>
  <c r="AH192" i="5" s="1"/>
  <c r="AG201" i="5"/>
  <c r="AG217" i="5"/>
  <c r="AG232" i="5"/>
  <c r="AI232" i="5" s="1"/>
  <c r="AG243" i="5"/>
  <c r="AI243" i="5" s="1"/>
  <c r="AG255" i="5"/>
  <c r="AG266" i="5"/>
  <c r="AH266" i="5" s="1"/>
  <c r="AG274" i="5"/>
  <c r="AH274" i="5" s="1"/>
  <c r="AG282" i="5"/>
  <c r="AG290" i="5"/>
  <c r="AH290" i="5" s="1"/>
  <c r="AG306" i="5"/>
  <c r="AG338" i="5"/>
  <c r="AI338" i="5" s="1"/>
  <c r="AG354" i="5"/>
  <c r="AI354" i="5" s="1"/>
  <c r="AG366" i="5"/>
  <c r="AG382" i="5"/>
  <c r="AG411" i="5"/>
  <c r="AI411" i="5" s="1"/>
  <c r="AG427" i="5"/>
  <c r="AG443" i="5"/>
  <c r="AG195" i="5"/>
  <c r="AI195" i="5" s="1"/>
  <c r="AG213" i="5"/>
  <c r="AI213" i="5" s="1"/>
  <c r="AG227" i="5"/>
  <c r="AH227" i="5" s="1"/>
  <c r="AG248" i="5"/>
  <c r="AG300" i="5"/>
  <c r="AG312" i="5"/>
  <c r="AI312" i="5" s="1"/>
  <c r="AG321" i="5"/>
  <c r="AI321" i="5" s="1"/>
  <c r="AG327" i="5"/>
  <c r="AH327" i="5" s="1"/>
  <c r="AG334" i="5"/>
  <c r="AG350" i="5"/>
  <c r="AI350" i="5" s="1"/>
  <c r="AG361" i="5"/>
  <c r="AH361" i="5" s="1"/>
  <c r="AG377" i="5"/>
  <c r="AG384" i="5"/>
  <c r="AI384" i="5" s="1"/>
  <c r="AG393" i="5"/>
  <c r="AH393" i="5" s="1"/>
  <c r="AG410" i="5"/>
  <c r="AG426" i="5"/>
  <c r="AG442" i="5"/>
  <c r="AG463" i="5"/>
  <c r="AH463" i="5" s="1"/>
  <c r="AG473" i="5"/>
  <c r="AI473" i="5" s="1"/>
  <c r="AG489" i="5"/>
  <c r="AG207" i="5"/>
  <c r="AG221" i="5"/>
  <c r="AI221" i="5" s="1"/>
  <c r="AG239" i="5"/>
  <c r="AG7" i="5"/>
  <c r="AG27" i="5"/>
  <c r="AH27" i="5" s="1"/>
  <c r="AG22" i="5"/>
  <c r="AH22" i="5" s="1"/>
  <c r="AG30" i="5"/>
  <c r="AH30" i="5" s="1"/>
  <c r="AG38" i="5"/>
  <c r="AG24" i="5"/>
  <c r="AG40" i="5"/>
  <c r="AH40" i="5" s="1"/>
  <c r="AG53" i="5"/>
  <c r="AH53" i="5" s="1"/>
  <c r="AG59" i="5"/>
  <c r="AG67" i="5"/>
  <c r="AG75" i="5"/>
  <c r="AH75" i="5" s="1"/>
  <c r="AG100" i="5"/>
  <c r="AH100" i="5" s="1"/>
  <c r="AG116" i="5"/>
  <c r="AG129" i="5"/>
  <c r="AH129" i="5" s="1"/>
  <c r="AG150" i="5"/>
  <c r="AI150" i="5" s="1"/>
  <c r="AG165" i="5"/>
  <c r="AG188" i="5"/>
  <c r="AG47" i="5"/>
  <c r="AG80" i="5"/>
  <c r="AI80" i="5" s="1"/>
  <c r="AG99" i="5"/>
  <c r="AI99" i="5" s="1"/>
  <c r="AG115" i="5"/>
  <c r="AG135" i="5"/>
  <c r="AG147" i="5"/>
  <c r="AI147" i="5" s="1"/>
  <c r="AG159" i="5"/>
  <c r="AG176" i="5"/>
  <c r="AG50" i="5"/>
  <c r="AI50" i="5" s="1"/>
  <c r="AG69" i="5"/>
  <c r="AI69" i="5" s="1"/>
  <c r="AG84" i="5"/>
  <c r="AI84" i="5" s="1"/>
  <c r="AG92" i="5"/>
  <c r="AG108" i="5"/>
  <c r="AG124" i="5"/>
  <c r="AH124" i="5" s="1"/>
  <c r="AG155" i="5"/>
  <c r="AI155" i="5" s="1"/>
  <c r="AG170" i="5"/>
  <c r="AG185" i="5"/>
  <c r="AG60" i="5"/>
  <c r="AI60" i="5" s="1"/>
  <c r="AG76" i="5"/>
  <c r="AH76" i="5" s="1"/>
  <c r="AG94" i="5"/>
  <c r="AG110" i="5"/>
  <c r="AH110" i="5" s="1"/>
  <c r="AG126" i="5"/>
  <c r="AH126" i="5" s="1"/>
  <c r="AG134" i="5"/>
  <c r="AG142" i="5"/>
  <c r="AG166" i="5"/>
  <c r="AG175" i="5"/>
  <c r="AH175" i="5" s="1"/>
  <c r="AG184" i="5"/>
  <c r="AH184" i="5" s="1"/>
  <c r="AG197" i="5"/>
  <c r="AG210" i="5"/>
  <c r="AG222" i="5"/>
  <c r="AI222" i="5" s="1"/>
  <c r="AG233" i="5"/>
  <c r="AG247" i="5"/>
  <c r="AG256" i="5"/>
  <c r="AH256" i="5" s="1"/>
  <c r="AG267" i="5"/>
  <c r="AH267" i="5" s="1"/>
  <c r="AG275" i="5"/>
  <c r="AH275" i="5" s="1"/>
  <c r="AG283" i="5"/>
  <c r="AG291" i="5"/>
  <c r="AG307" i="5"/>
  <c r="AH307" i="5" s="1"/>
  <c r="AG340" i="5"/>
  <c r="AI340" i="5" s="1"/>
  <c r="AG356" i="5"/>
  <c r="AG368" i="5"/>
  <c r="AG391" i="5"/>
  <c r="AH391" i="5" s="1"/>
  <c r="AG413" i="5"/>
  <c r="AH413" i="5" s="1"/>
  <c r="AG429" i="5"/>
  <c r="AG445" i="5"/>
  <c r="AH445" i="5" s="1"/>
  <c r="AG206" i="5"/>
  <c r="AI206" i="5" s="1"/>
  <c r="AG220" i="5"/>
  <c r="AG236" i="5"/>
  <c r="AG251" i="5"/>
  <c r="AG302" i="5"/>
  <c r="AH302" i="5" s="1"/>
  <c r="AG313" i="5"/>
  <c r="AI313" i="5" s="1"/>
  <c r="AG322" i="5"/>
  <c r="AG330" i="5"/>
  <c r="AG336" i="5"/>
  <c r="AI336" i="5" s="1"/>
  <c r="AG352" i="5"/>
  <c r="AG370" i="5"/>
  <c r="AG378" i="5"/>
  <c r="AI378" i="5" s="1"/>
  <c r="AG385" i="5"/>
  <c r="AH385" i="5" s="1"/>
  <c r="AG404" i="5"/>
  <c r="AH404" i="5" s="1"/>
  <c r="AG420" i="5"/>
  <c r="AG436" i="5"/>
  <c r="AG451" i="5"/>
  <c r="AI451" i="5" s="1"/>
  <c r="AG467" i="5"/>
  <c r="AI467" i="5" s="1"/>
  <c r="AG483" i="5"/>
  <c r="AG187" i="5"/>
  <c r="AG209" i="5"/>
  <c r="AI209" i="5" s="1"/>
  <c r="AG228" i="5"/>
  <c r="AH228" i="5" s="1"/>
  <c r="AG244" i="5"/>
  <c r="AG13" i="5"/>
  <c r="AI13" i="5" s="1"/>
  <c r="AG41" i="5"/>
  <c r="AH41" i="5" s="1"/>
  <c r="AG62" i="5"/>
  <c r="AG119" i="5"/>
  <c r="AG191" i="5"/>
  <c r="AG117" i="5"/>
  <c r="AH117" i="5" s="1"/>
  <c r="AG177" i="5"/>
  <c r="AI177" i="5" s="1"/>
  <c r="AG95" i="5"/>
  <c r="AH95" i="5" s="1"/>
  <c r="AG173" i="5"/>
  <c r="AG81" i="5"/>
  <c r="AH81" i="5" s="1"/>
  <c r="AG120" i="5"/>
  <c r="AG138" i="5"/>
  <c r="AG169" i="5"/>
  <c r="AI169" i="5" s="1"/>
  <c r="AG189" i="5"/>
  <c r="AH189" i="5" s="1"/>
  <c r="AG212" i="5"/>
  <c r="AH212" i="5" s="1"/>
  <c r="AG235" i="5"/>
  <c r="AG262" i="5"/>
  <c r="AG278" i="5"/>
  <c r="AH278" i="5" s="1"/>
  <c r="AG301" i="5"/>
  <c r="AI301" i="5" s="1"/>
  <c r="AG345" i="5"/>
  <c r="AG369" i="5"/>
  <c r="AG414" i="5"/>
  <c r="AH414" i="5" s="1"/>
  <c r="AG446" i="5"/>
  <c r="AH446" i="5" s="1"/>
  <c r="AG224" i="5"/>
  <c r="AG252" i="5"/>
  <c r="AH252" i="5" s="1"/>
  <c r="AG318" i="5"/>
  <c r="AH318" i="5" s="1"/>
  <c r="AG331" i="5"/>
  <c r="AG358" i="5"/>
  <c r="AG379" i="5"/>
  <c r="AG407" i="5"/>
  <c r="AH407" i="5" s="1"/>
  <c r="AG439" i="5"/>
  <c r="AI439" i="5" s="1"/>
  <c r="AG470" i="5"/>
  <c r="AG202" i="5"/>
  <c r="AG229" i="5"/>
  <c r="AI229" i="5" s="1"/>
  <c r="AG265" i="5"/>
  <c r="AG281" i="5"/>
  <c r="AG296" i="5"/>
  <c r="AI296" i="5" s="1"/>
  <c r="AG319" i="5"/>
  <c r="AH319" i="5" s="1"/>
  <c r="AG337" i="5"/>
  <c r="AH337" i="5" s="1"/>
  <c r="AG353" i="5"/>
  <c r="AG367" i="5"/>
  <c r="AH367" i="5" s="1"/>
  <c r="AG400" i="5"/>
  <c r="AH400" i="5" s="1"/>
  <c r="AG416" i="5"/>
  <c r="AH416" i="5" s="1"/>
  <c r="AG432" i="5"/>
  <c r="AH432" i="5" s="1"/>
  <c r="AG448" i="5"/>
  <c r="AH448" i="5" s="1"/>
  <c r="AG203" i="5"/>
  <c r="AH203" i="5" s="1"/>
  <c r="AG226" i="5"/>
  <c r="AI226" i="5" s="1"/>
  <c r="AG245" i="5"/>
  <c r="AG257" i="5"/>
  <c r="AI257" i="5" s="1"/>
  <c r="AG268" i="5"/>
  <c r="AH268" i="5" s="1"/>
  <c r="AG284" i="5"/>
  <c r="AG295" i="5"/>
  <c r="AG314" i="5"/>
  <c r="AH314" i="5" s="1"/>
  <c r="AG335" i="5"/>
  <c r="AH335" i="5" s="1"/>
  <c r="AG351" i="5"/>
  <c r="AH351" i="5" s="1"/>
  <c r="AG376" i="5"/>
  <c r="AG387" i="5"/>
  <c r="AI387" i="5" s="1"/>
  <c r="AG397" i="5"/>
  <c r="AH397" i="5" s="1"/>
  <c r="AG412" i="5"/>
  <c r="AG428" i="5"/>
  <c r="AH428" i="5" s="1"/>
  <c r="AG444" i="5"/>
  <c r="AI444" i="5" s="1"/>
  <c r="AG453" i="5"/>
  <c r="AI453" i="5" s="1"/>
  <c r="AG461" i="5"/>
  <c r="AH461" i="5" s="1"/>
  <c r="AG478" i="5"/>
  <c r="AG474" i="5"/>
  <c r="AI474" i="5" s="1"/>
  <c r="AG498" i="5"/>
  <c r="AI498" i="5" s="1"/>
  <c r="AG513" i="5"/>
  <c r="AH513" i="5" s="1"/>
  <c r="AG530" i="5"/>
  <c r="AG547" i="5"/>
  <c r="AI547" i="5" s="1"/>
  <c r="AG554" i="5"/>
  <c r="AI554" i="5" s="1"/>
  <c r="AG491" i="5"/>
  <c r="AI491" i="5" s="1"/>
  <c r="AG502" i="5"/>
  <c r="AG508" i="5"/>
  <c r="AH508" i="5" s="1"/>
  <c r="AG536" i="5"/>
  <c r="AH536" i="5" s="1"/>
  <c r="AG458" i="5"/>
  <c r="AG477" i="5"/>
  <c r="AH477" i="5" s="1"/>
  <c r="AG492" i="5"/>
  <c r="AH492" i="5" s="1"/>
  <c r="AG519" i="5"/>
  <c r="AI519" i="5" s="1"/>
  <c r="AG535" i="5"/>
  <c r="AI535" i="5" s="1"/>
  <c r="AG550" i="5"/>
  <c r="AG552" i="5"/>
  <c r="AH552" i="5" s="1"/>
  <c r="AG506" i="5"/>
  <c r="AI506" i="5" s="1"/>
  <c r="AG522" i="5"/>
  <c r="AG528" i="5"/>
  <c r="AG544" i="5"/>
  <c r="AH544" i="5" s="1"/>
  <c r="AG31" i="5"/>
  <c r="AI31" i="5" s="1"/>
  <c r="AG28" i="5"/>
  <c r="AH28" i="5" s="1"/>
  <c r="AG70" i="5"/>
  <c r="AI70" i="5" s="1"/>
  <c r="AG130" i="5"/>
  <c r="AH130" i="5" s="1"/>
  <c r="AG56" i="5"/>
  <c r="AI56" i="5" s="1"/>
  <c r="AG139" i="5"/>
  <c r="AI139" i="5" s="1"/>
  <c r="AG52" i="5"/>
  <c r="AH52" i="5" s="1"/>
  <c r="AG111" i="5"/>
  <c r="AI111" i="5" s="1"/>
  <c r="AG39" i="5"/>
  <c r="AH39" i="5" s="1"/>
  <c r="AG90" i="5"/>
  <c r="AH90" i="5" s="1"/>
  <c r="AG123" i="5"/>
  <c r="AG140" i="5"/>
  <c r="AI140" i="5" s="1"/>
  <c r="AG171" i="5"/>
  <c r="AH171" i="5" s="1"/>
  <c r="AG190" i="5"/>
  <c r="AG215" i="5"/>
  <c r="AG242" i="5"/>
  <c r="AI242" i="5" s="1"/>
  <c r="AG263" i="5"/>
  <c r="AI263" i="5" s="1"/>
  <c r="AG279" i="5"/>
  <c r="AH279" i="5" s="1"/>
  <c r="AG304" i="5"/>
  <c r="AG347" i="5"/>
  <c r="AI347" i="5" s="1"/>
  <c r="AG375" i="5"/>
  <c r="AH375" i="5" s="1"/>
  <c r="AG424" i="5"/>
  <c r="AG194" i="5"/>
  <c r="AG225" i="5"/>
  <c r="AH225" i="5" s="1"/>
  <c r="AG297" i="5"/>
  <c r="AI297" i="5" s="1"/>
  <c r="AG320" i="5"/>
  <c r="AH320" i="5" s="1"/>
  <c r="AG333" i="5"/>
  <c r="AG360" i="5"/>
  <c r="AH360" i="5" s="1"/>
  <c r="AG381" i="5"/>
  <c r="AH381" i="5" s="1"/>
  <c r="AG409" i="5"/>
  <c r="AH409" i="5" s="1"/>
  <c r="AG441" i="5"/>
  <c r="AG472" i="5"/>
  <c r="AH472" i="5" s="1"/>
  <c r="AG204" i="5"/>
  <c r="AI204" i="5" s="1"/>
  <c r="AG234" i="5"/>
  <c r="AI234" i="5" s="1"/>
  <c r="AG269" i="5"/>
  <c r="AI269" i="5" s="1"/>
  <c r="AG285" i="5"/>
  <c r="AI285" i="5" s="1"/>
  <c r="AG298" i="5"/>
  <c r="AH298" i="5" s="1"/>
  <c r="AG324" i="5"/>
  <c r="AG339" i="5"/>
  <c r="AH339" i="5" s="1"/>
  <c r="AG355" i="5"/>
  <c r="AI355" i="5" s="1"/>
  <c r="AG374" i="5"/>
  <c r="AH374" i="5" s="1"/>
  <c r="AG403" i="5"/>
  <c r="AI403" i="5" s="1"/>
  <c r="AG419" i="5"/>
  <c r="AI419" i="5" s="1"/>
  <c r="AG435" i="5"/>
  <c r="AH435" i="5" s="1"/>
  <c r="AG450" i="5"/>
  <c r="AI450" i="5" s="1"/>
  <c r="AG205" i="5"/>
  <c r="AG231" i="5"/>
  <c r="AI231" i="5" s="1"/>
  <c r="AG246" i="5"/>
  <c r="AI246" i="5" s="1"/>
  <c r="AG259" i="5"/>
  <c r="AI259" i="5" s="1"/>
  <c r="AG272" i="5"/>
  <c r="AH272" i="5" s="1"/>
  <c r="AG288" i="5"/>
  <c r="AH288" i="5" s="1"/>
  <c r="AG305" i="5"/>
  <c r="AI305" i="5" s="1"/>
  <c r="AG316" i="5"/>
  <c r="AH316" i="5" s="1"/>
  <c r="AG342" i="5"/>
  <c r="AH342" i="5" s="1"/>
  <c r="AG359" i="5"/>
  <c r="AH359" i="5" s="1"/>
  <c r="AG380" i="5"/>
  <c r="AH380" i="5" s="1"/>
  <c r="AG392" i="5"/>
  <c r="AI392" i="5" s="1"/>
  <c r="AG399" i="5"/>
  <c r="AH399" i="5" s="1"/>
  <c r="AG415" i="5"/>
  <c r="AI415" i="5" s="1"/>
  <c r="AG431" i="5"/>
  <c r="AI431" i="5" s="1"/>
  <c r="AG447" i="5"/>
  <c r="AI447" i="5" s="1"/>
  <c r="AG456" i="5"/>
  <c r="AG464" i="5"/>
  <c r="AH464" i="5" s="1"/>
  <c r="AG480" i="5"/>
  <c r="AH480" i="5" s="1"/>
  <c r="AG476" i="5"/>
  <c r="AH476" i="5" s="1"/>
  <c r="AG503" i="5"/>
  <c r="AH503" i="5" s="1"/>
  <c r="AG514" i="5"/>
  <c r="AH514" i="5" s="1"/>
  <c r="AG531" i="5"/>
  <c r="AI531" i="5" s="1"/>
  <c r="AG549" i="5"/>
  <c r="AH549" i="5" s="1"/>
  <c r="AG559" i="5"/>
  <c r="AG494" i="5"/>
  <c r="AI494" i="5" s="1"/>
  <c r="AG504" i="5"/>
  <c r="AI504" i="5" s="1"/>
  <c r="AG510" i="5"/>
  <c r="AI510" i="5" s="1"/>
  <c r="AG538" i="5"/>
  <c r="AH538" i="5" s="1"/>
  <c r="AG462" i="5"/>
  <c r="AG482" i="5"/>
  <c r="AH482" i="5" s="1"/>
  <c r="AG493" i="5"/>
  <c r="AH493" i="5" s="1"/>
  <c r="AG525" i="5"/>
  <c r="AI525" i="5" s="1"/>
  <c r="AG539" i="5"/>
  <c r="AH539" i="5" s="1"/>
  <c r="AG555" i="5"/>
  <c r="AH555" i="5" s="1"/>
  <c r="AG479" i="5"/>
  <c r="AH479" i="5" s="1"/>
  <c r="AG509" i="5"/>
  <c r="AH509" i="5" s="1"/>
  <c r="AG523" i="5"/>
  <c r="AI523" i="5" s="1"/>
  <c r="AG529" i="5"/>
  <c r="AH529" i="5" s="1"/>
  <c r="AG546" i="5"/>
  <c r="AH546" i="5" s="1"/>
  <c r="AG25" i="5"/>
  <c r="AG44" i="5"/>
  <c r="AI44" i="5" s="1"/>
  <c r="AG82" i="5"/>
  <c r="AH82" i="5" s="1"/>
  <c r="AG151" i="5"/>
  <c r="AH151" i="5" s="1"/>
  <c r="AG85" i="5"/>
  <c r="AH85" i="5" s="1"/>
  <c r="AG153" i="5"/>
  <c r="AG73" i="5"/>
  <c r="AI73" i="5" s="1"/>
  <c r="AG132" i="5"/>
  <c r="AH132" i="5" s="1"/>
  <c r="AG64" i="5"/>
  <c r="AG104" i="5"/>
  <c r="AI104" i="5" s="1"/>
  <c r="AG128" i="5"/>
  <c r="AH128" i="5" s="1"/>
  <c r="AG143" i="5"/>
  <c r="AI143" i="5" s="1"/>
  <c r="AG178" i="5"/>
  <c r="AH178" i="5" s="1"/>
  <c r="AG198" i="5"/>
  <c r="AH198" i="5" s="1"/>
  <c r="AG223" i="5"/>
  <c r="AH223" i="5" s="1"/>
  <c r="AG250" i="5"/>
  <c r="AI250" i="5" s="1"/>
  <c r="AG270" i="5"/>
  <c r="AH270" i="5" s="1"/>
  <c r="AG286" i="5"/>
  <c r="AI286" i="5" s="1"/>
  <c r="AG315" i="5"/>
  <c r="AH315" i="5" s="1"/>
  <c r="AG357" i="5"/>
  <c r="AI357" i="5" s="1"/>
  <c r="AG395" i="5"/>
  <c r="AH395" i="5" s="1"/>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F482" i="5"/>
  <c r="AF294" i="5"/>
  <c r="AF29" i="5"/>
  <c r="AF522" i="5"/>
  <c r="AP522" i="5" s="1"/>
  <c r="AF466" i="5"/>
  <c r="AF214" i="5"/>
  <c r="AF558" i="5"/>
  <c r="AF506" i="5"/>
  <c r="AP506" i="5" s="1"/>
  <c r="AF414" i="5"/>
  <c r="AF21" i="5"/>
  <c r="AF542" i="5"/>
  <c r="AF518" i="5"/>
  <c r="AF486" i="5"/>
  <c r="AF454" i="5"/>
  <c r="AF406" i="5"/>
  <c r="AF342" i="5"/>
  <c r="AF286" i="5"/>
  <c r="AF90" i="5"/>
  <c r="AF446" i="5"/>
  <c r="AF382" i="5"/>
  <c r="AF326" i="5"/>
  <c r="AF278" i="5"/>
  <c r="AF437" i="5"/>
  <c r="AF33" i="5"/>
  <c r="AF554" i="5"/>
  <c r="AF530" i="5"/>
  <c r="AP530" i="5" s="1"/>
  <c r="AF502" i="5"/>
  <c r="AF474" i="5"/>
  <c r="AF422" i="5"/>
  <c r="AF374" i="5"/>
  <c r="AF318" i="5"/>
  <c r="AF246" i="5"/>
  <c r="AF41" i="5"/>
  <c r="AF25" i="5"/>
  <c r="AF550" i="5"/>
  <c r="AF534" i="5"/>
  <c r="AF514" i="5"/>
  <c r="AF490" i="5"/>
  <c r="AF470" i="5"/>
  <c r="AF438" i="5"/>
  <c r="AF390" i="5"/>
  <c r="AF350" i="5"/>
  <c r="AF310" i="5"/>
  <c r="AF262" i="5"/>
  <c r="AF198" i="5"/>
  <c r="AF373" i="5"/>
  <c r="AP373" i="5" s="1"/>
  <c r="AF254" i="5"/>
  <c r="AP254" i="5" s="1"/>
  <c r="AF150" i="5"/>
  <c r="AP150" i="5" s="1"/>
  <c r="AF526" i="5"/>
  <c r="AF510" i="5"/>
  <c r="AF494" i="5"/>
  <c r="AF478" i="5"/>
  <c r="AF462" i="5"/>
  <c r="AF430" i="5"/>
  <c r="AF398" i="5"/>
  <c r="AF366" i="5"/>
  <c r="AF334" i="5"/>
  <c r="AF302" i="5"/>
  <c r="AF270" i="5"/>
  <c r="AF238" i="5"/>
  <c r="AF182" i="5"/>
  <c r="AF24" i="5"/>
  <c r="AF193" i="5"/>
  <c r="AP193" i="5" s="1"/>
  <c r="AF230" i="5"/>
  <c r="AF166" i="5"/>
  <c r="AF501" i="5"/>
  <c r="AF458" i="5"/>
  <c r="AP458" i="5" s="1"/>
  <c r="AF442" i="5"/>
  <c r="AF426" i="5"/>
  <c r="AF410" i="5"/>
  <c r="AP410" i="5" s="1"/>
  <c r="AF394" i="5"/>
  <c r="AF378" i="5"/>
  <c r="AF362" i="5"/>
  <c r="AF346" i="5"/>
  <c r="AF330" i="5"/>
  <c r="AP330" i="5" s="1"/>
  <c r="AF314" i="5"/>
  <c r="AF298" i="5"/>
  <c r="AF282" i="5"/>
  <c r="AP282" i="5" s="1"/>
  <c r="AF266" i="5"/>
  <c r="AF250" i="5"/>
  <c r="AF234" i="5"/>
  <c r="AP234" i="5" s="1"/>
  <c r="AF206" i="5"/>
  <c r="AF174" i="5"/>
  <c r="AF138" i="5"/>
  <c r="AF74" i="5"/>
  <c r="AP74" i="5" s="1"/>
  <c r="AF549" i="5"/>
  <c r="AF485" i="5"/>
  <c r="AF421" i="5"/>
  <c r="AF353" i="5"/>
  <c r="AF129" i="5"/>
  <c r="AF122" i="5"/>
  <c r="AF58" i="5"/>
  <c r="AF533" i="5"/>
  <c r="AF469" i="5"/>
  <c r="AP469" i="5" s="1"/>
  <c r="AF405" i="5"/>
  <c r="AF321" i="5"/>
  <c r="AF524" i="5"/>
  <c r="AF450" i="5"/>
  <c r="AF434" i="5"/>
  <c r="AF418" i="5"/>
  <c r="AF402" i="5"/>
  <c r="AF386" i="5"/>
  <c r="AF370" i="5"/>
  <c r="AF354" i="5"/>
  <c r="AF338" i="5"/>
  <c r="AF322" i="5"/>
  <c r="AP322" i="5" s="1"/>
  <c r="AF306" i="5"/>
  <c r="AP306" i="5" s="1"/>
  <c r="AF290" i="5"/>
  <c r="AF274" i="5"/>
  <c r="AF258" i="5"/>
  <c r="AF242" i="5"/>
  <c r="AP242" i="5" s="1"/>
  <c r="AF222" i="5"/>
  <c r="AF190" i="5"/>
  <c r="AP190" i="5" s="1"/>
  <c r="AF158" i="5"/>
  <c r="AF106" i="5"/>
  <c r="AP106" i="5" s="1"/>
  <c r="AF40" i="5"/>
  <c r="AF517" i="5"/>
  <c r="AF453" i="5"/>
  <c r="AF389" i="5"/>
  <c r="AF257" i="5"/>
  <c r="AF226" i="5"/>
  <c r="AP226" i="5" s="1"/>
  <c r="AF210" i="5"/>
  <c r="AF194" i="5"/>
  <c r="AF178" i="5"/>
  <c r="AF162" i="5"/>
  <c r="AF146" i="5"/>
  <c r="AF114" i="5"/>
  <c r="AP114" i="5" s="1"/>
  <c r="AF82" i="5"/>
  <c r="AF50" i="5"/>
  <c r="AF557" i="5"/>
  <c r="AF525" i="5"/>
  <c r="AF493" i="5"/>
  <c r="AF461" i="5"/>
  <c r="AF429" i="5"/>
  <c r="AF397" i="5"/>
  <c r="AF365" i="5"/>
  <c r="AF305" i="5"/>
  <c r="AF241" i="5"/>
  <c r="AP241" i="5" s="1"/>
  <c r="AF177" i="5"/>
  <c r="AF113" i="5"/>
  <c r="AF436" i="5"/>
  <c r="AF289" i="5"/>
  <c r="AF225" i="5"/>
  <c r="AP225" i="5" s="1"/>
  <c r="AF161" i="5"/>
  <c r="AF97" i="5"/>
  <c r="AP97" i="5" s="1"/>
  <c r="AF300" i="5"/>
  <c r="AF218" i="5"/>
  <c r="AF202" i="5"/>
  <c r="AF186" i="5"/>
  <c r="AF170" i="5"/>
  <c r="AP170" i="5" s="1"/>
  <c r="AF154" i="5"/>
  <c r="AP154" i="5" s="1"/>
  <c r="AF130" i="5"/>
  <c r="AF98" i="5"/>
  <c r="AF66" i="5"/>
  <c r="AP66" i="5" s="1"/>
  <c r="AF32" i="5"/>
  <c r="AF541" i="5"/>
  <c r="AP541" i="5" s="1"/>
  <c r="AF509" i="5"/>
  <c r="AF477" i="5"/>
  <c r="AP477" i="5" s="1"/>
  <c r="AF445" i="5"/>
  <c r="AF413" i="5"/>
  <c r="AF381" i="5"/>
  <c r="AF337" i="5"/>
  <c r="AF273" i="5"/>
  <c r="AF209" i="5"/>
  <c r="AF145" i="5"/>
  <c r="AP145" i="5" s="1"/>
  <c r="AF49" i="5"/>
  <c r="AF134" i="5"/>
  <c r="AP134" i="5" s="1"/>
  <c r="AF118" i="5"/>
  <c r="AP118" i="5" s="1"/>
  <c r="AF102" i="5"/>
  <c r="AF86" i="5"/>
  <c r="AF70" i="5"/>
  <c r="AF54" i="5"/>
  <c r="AF36" i="5"/>
  <c r="AP36" i="5" s="1"/>
  <c r="AF20" i="5"/>
  <c r="AP20" i="5" s="1"/>
  <c r="AF545" i="5"/>
  <c r="AF529" i="5"/>
  <c r="AF513" i="5"/>
  <c r="AF497" i="5"/>
  <c r="AF481" i="5"/>
  <c r="AF465" i="5"/>
  <c r="AF449" i="5"/>
  <c r="AF433" i="5"/>
  <c r="AF417" i="5"/>
  <c r="AF401" i="5"/>
  <c r="AF385" i="5"/>
  <c r="AF369" i="5"/>
  <c r="AF345" i="5"/>
  <c r="AF313" i="5"/>
  <c r="AF281" i="5"/>
  <c r="AF249" i="5"/>
  <c r="AF217" i="5"/>
  <c r="AP217" i="5" s="1"/>
  <c r="AF185" i="5"/>
  <c r="AF153" i="5"/>
  <c r="AF121" i="5"/>
  <c r="AF89" i="5"/>
  <c r="AP89" i="5" s="1"/>
  <c r="AF31" i="5"/>
  <c r="AF508" i="5"/>
  <c r="AF404" i="5"/>
  <c r="AF256" i="5"/>
  <c r="AF81" i="5"/>
  <c r="AP81" i="5" s="1"/>
  <c r="AF556" i="5"/>
  <c r="AP556" i="5" s="1"/>
  <c r="AF492" i="5"/>
  <c r="AF372" i="5"/>
  <c r="AF64" i="5"/>
  <c r="AP64" i="5" s="1"/>
  <c r="AF142" i="5"/>
  <c r="AF126" i="5"/>
  <c r="AF110" i="5"/>
  <c r="AF94" i="5"/>
  <c r="AF78" i="5"/>
  <c r="AP78" i="5" s="1"/>
  <c r="AF62" i="5"/>
  <c r="AP62" i="5" s="1"/>
  <c r="AF46" i="5"/>
  <c r="AF28" i="5"/>
  <c r="AF553" i="5"/>
  <c r="AF537" i="5"/>
  <c r="AF521" i="5"/>
  <c r="AF505" i="5"/>
  <c r="AF489" i="5"/>
  <c r="AF473" i="5"/>
  <c r="AF457" i="5"/>
  <c r="AF441" i="5"/>
  <c r="AF425" i="5"/>
  <c r="AF409" i="5"/>
  <c r="AF393" i="5"/>
  <c r="AF377" i="5"/>
  <c r="AF361" i="5"/>
  <c r="AP361" i="5" s="1"/>
  <c r="AF329" i="5"/>
  <c r="AF297" i="5"/>
  <c r="AF265" i="5"/>
  <c r="AP265" i="5" s="1"/>
  <c r="AF233" i="5"/>
  <c r="AP233" i="5" s="1"/>
  <c r="AF201" i="5"/>
  <c r="AP201" i="5" s="1"/>
  <c r="AF169" i="5"/>
  <c r="AF137" i="5"/>
  <c r="AP137" i="5" s="1"/>
  <c r="AF105" i="5"/>
  <c r="AF65" i="5"/>
  <c r="AF540" i="5"/>
  <c r="AF468" i="5"/>
  <c r="AF340" i="5"/>
  <c r="AF357" i="5"/>
  <c r="AF341" i="5"/>
  <c r="AF325" i="5"/>
  <c r="AF309" i="5"/>
  <c r="AP309" i="5" s="1"/>
  <c r="AF293" i="5"/>
  <c r="AF277" i="5"/>
  <c r="AF261" i="5"/>
  <c r="AF245" i="5"/>
  <c r="AF229" i="5"/>
  <c r="AF213" i="5"/>
  <c r="AF197" i="5"/>
  <c r="AF181" i="5"/>
  <c r="AF165" i="5"/>
  <c r="AP165" i="5" s="1"/>
  <c r="AF149" i="5"/>
  <c r="AF133" i="5"/>
  <c r="AF117" i="5"/>
  <c r="AF101" i="5"/>
  <c r="AF85" i="5"/>
  <c r="AF57" i="5"/>
  <c r="AP57" i="5" s="1"/>
  <c r="AF23" i="5"/>
  <c r="AF532" i="5"/>
  <c r="AF500" i="5"/>
  <c r="AP500" i="5" s="1"/>
  <c r="AF452" i="5"/>
  <c r="AF388" i="5"/>
  <c r="AF320" i="5"/>
  <c r="AF236" i="5"/>
  <c r="AF543" i="5"/>
  <c r="AF192" i="5"/>
  <c r="AF399" i="5"/>
  <c r="AF349" i="5"/>
  <c r="AF333" i="5"/>
  <c r="AF317" i="5"/>
  <c r="AF301" i="5"/>
  <c r="AF285" i="5"/>
  <c r="AF269" i="5"/>
  <c r="AF253" i="5"/>
  <c r="AP253" i="5" s="1"/>
  <c r="AF237" i="5"/>
  <c r="AF221" i="5"/>
  <c r="AF205" i="5"/>
  <c r="AP205" i="5" s="1"/>
  <c r="AF189" i="5"/>
  <c r="AF173" i="5"/>
  <c r="AF157" i="5"/>
  <c r="AF141" i="5"/>
  <c r="AF125" i="5"/>
  <c r="AF109" i="5"/>
  <c r="AF93" i="5"/>
  <c r="AP93" i="5" s="1"/>
  <c r="AF73" i="5"/>
  <c r="AF39" i="5"/>
  <c r="AF548" i="5"/>
  <c r="AF516" i="5"/>
  <c r="AP516" i="5" s="1"/>
  <c r="AF484" i="5"/>
  <c r="AF420" i="5"/>
  <c r="AF356" i="5"/>
  <c r="AP356" i="5" s="1"/>
  <c r="AF280" i="5"/>
  <c r="AF128" i="5"/>
  <c r="AF69" i="5"/>
  <c r="AF53" i="5"/>
  <c r="AF35" i="5"/>
  <c r="AF560" i="5"/>
  <c r="AF544" i="5"/>
  <c r="AF528" i="5"/>
  <c r="AP528" i="5" s="1"/>
  <c r="AF512" i="5"/>
  <c r="AF496" i="5"/>
  <c r="AF476" i="5"/>
  <c r="AF444" i="5"/>
  <c r="AF412" i="5"/>
  <c r="AP412" i="5" s="1"/>
  <c r="AF380" i="5"/>
  <c r="AF348" i="5"/>
  <c r="AF312" i="5"/>
  <c r="AF268" i="5"/>
  <c r="AF224" i="5"/>
  <c r="AF176" i="5"/>
  <c r="AF112" i="5"/>
  <c r="AF48" i="5"/>
  <c r="AF511" i="5"/>
  <c r="AF383" i="5"/>
  <c r="AF216" i="5"/>
  <c r="AF160" i="5"/>
  <c r="AF96" i="5"/>
  <c r="AP96" i="5" s="1"/>
  <c r="AF34" i="5"/>
  <c r="AF495" i="5"/>
  <c r="AF271" i="5"/>
  <c r="AF77" i="5"/>
  <c r="AP77" i="5" s="1"/>
  <c r="AF61" i="5"/>
  <c r="AF45" i="5"/>
  <c r="AP45" i="5" s="1"/>
  <c r="AF27" i="5"/>
  <c r="AP27" i="5" s="1"/>
  <c r="AF552" i="5"/>
  <c r="AF536" i="5"/>
  <c r="AF520" i="5"/>
  <c r="AF504" i="5"/>
  <c r="AF488" i="5"/>
  <c r="AP488" i="5" s="1"/>
  <c r="AF460" i="5"/>
  <c r="AF428" i="5"/>
  <c r="AF396" i="5"/>
  <c r="AF364" i="5"/>
  <c r="AP364" i="5" s="1"/>
  <c r="AF332" i="5"/>
  <c r="AF288" i="5"/>
  <c r="AP288" i="5" s="1"/>
  <c r="AF248" i="5"/>
  <c r="AF204" i="5"/>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F287" i="5"/>
  <c r="AF223" i="5"/>
  <c r="AP223" i="5" s="1"/>
  <c r="AF159" i="5"/>
  <c r="AP159" i="5" s="1"/>
  <c r="AF95" i="5"/>
  <c r="AF143" i="5"/>
  <c r="AF79" i="5"/>
  <c r="AF480" i="5"/>
  <c r="AF464" i="5"/>
  <c r="AF448" i="5"/>
  <c r="AF432" i="5"/>
  <c r="AF416" i="5"/>
  <c r="AF400" i="5"/>
  <c r="AF384" i="5"/>
  <c r="AF368" i="5"/>
  <c r="AP368" i="5" s="1"/>
  <c r="AF352" i="5"/>
  <c r="AP352" i="5" s="1"/>
  <c r="AF336" i="5"/>
  <c r="AF316" i="5"/>
  <c r="AF296" i="5"/>
  <c r="AF272" i="5"/>
  <c r="AF252" i="5"/>
  <c r="AF232" i="5"/>
  <c r="AF208" i="5"/>
  <c r="AP208" i="5" s="1"/>
  <c r="AF184" i="5"/>
  <c r="AF152" i="5"/>
  <c r="AP152" i="5" s="1"/>
  <c r="AF120" i="5"/>
  <c r="AP120" i="5" s="1"/>
  <c r="AF88" i="5"/>
  <c r="AF56" i="5"/>
  <c r="AP56" i="5" s="1"/>
  <c r="AF26" i="5"/>
  <c r="AF535" i="5"/>
  <c r="AF503" i="5"/>
  <c r="AF471" i="5"/>
  <c r="AF439" i="5"/>
  <c r="AF407" i="5"/>
  <c r="AF375" i="5"/>
  <c r="AF343" i="5"/>
  <c r="AF311" i="5"/>
  <c r="AF279" i="5"/>
  <c r="AF247" i="5"/>
  <c r="AF215" i="5"/>
  <c r="AF183" i="5"/>
  <c r="AF151" i="5"/>
  <c r="AF119" i="5"/>
  <c r="AF87" i="5"/>
  <c r="AF55" i="5"/>
  <c r="AP55" i="5" s="1"/>
  <c r="AF10" i="5"/>
  <c r="AF47" i="5"/>
  <c r="AP47" i="5" s="1"/>
  <c r="AF472" i="5"/>
  <c r="AF456" i="5"/>
  <c r="AP456" i="5" s="1"/>
  <c r="AF440" i="5"/>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F72" i="5"/>
  <c r="AF42" i="5"/>
  <c r="AP42" i="5" s="1"/>
  <c r="AF551" i="5"/>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F60" i="5"/>
  <c r="AF44" i="5"/>
  <c r="AF30" i="5"/>
  <c r="AF555" i="5"/>
  <c r="AF539" i="5"/>
  <c r="AF523" i="5"/>
  <c r="AF507" i="5"/>
  <c r="AF491" i="5"/>
  <c r="AF475" i="5"/>
  <c r="AF459" i="5"/>
  <c r="AF443" i="5"/>
  <c r="AF427" i="5"/>
  <c r="AP427" i="5" s="1"/>
  <c r="AF411" i="5"/>
  <c r="AF395" i="5"/>
  <c r="AF379" i="5"/>
  <c r="AF363" i="5"/>
  <c r="AP363" i="5" s="1"/>
  <c r="AF347" i="5"/>
  <c r="AF331" i="5"/>
  <c r="AP331" i="5" s="1"/>
  <c r="AF315" i="5"/>
  <c r="AF299" i="5"/>
  <c r="AF283" i="5"/>
  <c r="AP283" i="5" s="1"/>
  <c r="AF267" i="5"/>
  <c r="AF251" i="5"/>
  <c r="AF235" i="5"/>
  <c r="AF219" i="5"/>
  <c r="AF203" i="5"/>
  <c r="AF187" i="5"/>
  <c r="AF171" i="5"/>
  <c r="AF155" i="5"/>
  <c r="AF139" i="5"/>
  <c r="AF123" i="5"/>
  <c r="AF107" i="5"/>
  <c r="AF91" i="5"/>
  <c r="AF75" i="5"/>
  <c r="AF59" i="5"/>
  <c r="AF43" i="5"/>
  <c r="AF7" i="5"/>
  <c r="AP7" i="5" s="1"/>
  <c r="AF9" i="5"/>
  <c r="AF8" i="5"/>
  <c r="AF324" i="5"/>
  <c r="AP324" i="5" s="1"/>
  <c r="AF308" i="5"/>
  <c r="AF292" i="5"/>
  <c r="AP292" i="5" s="1"/>
  <c r="AF276" i="5"/>
  <c r="AF260" i="5"/>
  <c r="AF244" i="5"/>
  <c r="AF228" i="5"/>
  <c r="AF212" i="5"/>
  <c r="AF196" i="5"/>
  <c r="AF180" i="5"/>
  <c r="AP180" i="5" s="1"/>
  <c r="AF164" i="5"/>
  <c r="AF148" i="5"/>
  <c r="AF132" i="5"/>
  <c r="AF116" i="5"/>
  <c r="AF100" i="5"/>
  <c r="AF84" i="5"/>
  <c r="AF68" i="5"/>
  <c r="AF52" i="5"/>
  <c r="AP52" i="5" s="1"/>
  <c r="AF38" i="5"/>
  <c r="AF22" i="5"/>
  <c r="AP22" i="5" s="1"/>
  <c r="AF547" i="5"/>
  <c r="AF531" i="5"/>
  <c r="AF515" i="5"/>
  <c r="AP515" i="5" s="1"/>
  <c r="AF499" i="5"/>
  <c r="AF483" i="5"/>
  <c r="AF467" i="5"/>
  <c r="AF451" i="5"/>
  <c r="AF435" i="5"/>
  <c r="AF419" i="5"/>
  <c r="AF403" i="5"/>
  <c r="AF387" i="5"/>
  <c r="AP387" i="5" s="1"/>
  <c r="AF371" i="5"/>
  <c r="AF355" i="5"/>
  <c r="AF339" i="5"/>
  <c r="AP339" i="5" s="1"/>
  <c r="AF323" i="5"/>
  <c r="AF307" i="5"/>
  <c r="AF291" i="5"/>
  <c r="AF275" i="5"/>
  <c r="AF259" i="5"/>
  <c r="AF243" i="5"/>
  <c r="AF227" i="5"/>
  <c r="AF211" i="5"/>
  <c r="AF195" i="5"/>
  <c r="AF179" i="5"/>
  <c r="AF163" i="5"/>
  <c r="AF147" i="5"/>
  <c r="AF131" i="5"/>
  <c r="AF115" i="5"/>
  <c r="AF99" i="5"/>
  <c r="AF83" i="5"/>
  <c r="AF67" i="5"/>
  <c r="AP67" i="5" s="1"/>
  <c r="AF51" i="5"/>
  <c r="AP51" i="5" s="1"/>
  <c r="AF12" i="5"/>
  <c r="AP12" i="5" s="1"/>
  <c r="Q10" i="5"/>
  <c r="S10" i="5" s="1"/>
  <c r="AW10" i="5"/>
  <c r="AX10" i="5" s="1"/>
  <c r="B123" i="2"/>
  <c r="B125" i="2" s="1"/>
  <c r="O9" i="5"/>
  <c r="AM9" i="5" s="1"/>
  <c r="AG11" i="5"/>
  <c r="AH522" i="5"/>
  <c r="AI522" i="5"/>
  <c r="AH458" i="5"/>
  <c r="AI458" i="5"/>
  <c r="AH547" i="5"/>
  <c r="AH474" i="5"/>
  <c r="AH412" i="5"/>
  <c r="AI412" i="5"/>
  <c r="AH284" i="5"/>
  <c r="AI284" i="5"/>
  <c r="AI367" i="5"/>
  <c r="AI265" i="5"/>
  <c r="AH265" i="5"/>
  <c r="AI239" i="5"/>
  <c r="AH239" i="5"/>
  <c r="AH207" i="5"/>
  <c r="AI207" i="5"/>
  <c r="AH442" i="5"/>
  <c r="AI442" i="5"/>
  <c r="AH410" i="5"/>
  <c r="AI410" i="5"/>
  <c r="AH334" i="5"/>
  <c r="AI334" i="5"/>
  <c r="AI300" i="5"/>
  <c r="AH300" i="5"/>
  <c r="AI427" i="5"/>
  <c r="AH427" i="5"/>
  <c r="AH382" i="5"/>
  <c r="AI382" i="5"/>
  <c r="AH306" i="5"/>
  <c r="AI306" i="5"/>
  <c r="AH282" i="5"/>
  <c r="AI282" i="5"/>
  <c r="AH217" i="5"/>
  <c r="AI217" i="5"/>
  <c r="AH172" i="5"/>
  <c r="AI172" i="5"/>
  <c r="AH93" i="5"/>
  <c r="AI93" i="5"/>
  <c r="AH72" i="5"/>
  <c r="AI55" i="5"/>
  <c r="AH55" i="5"/>
  <c r="AH114" i="5"/>
  <c r="AI114" i="5"/>
  <c r="AI89" i="5"/>
  <c r="AH89" i="5"/>
  <c r="AI65" i="5"/>
  <c r="AH145" i="5"/>
  <c r="AI145" i="5"/>
  <c r="AH77" i="5"/>
  <c r="AI77" i="5"/>
  <c r="AI148" i="5"/>
  <c r="AH106" i="5"/>
  <c r="AI106" i="5"/>
  <c r="AH74" i="5"/>
  <c r="AI74" i="5"/>
  <c r="AH36" i="5"/>
  <c r="AI36" i="5"/>
  <c r="AH37" i="5"/>
  <c r="AI37" i="5"/>
  <c r="AI29" i="5"/>
  <c r="AH21"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0" i="5"/>
  <c r="AH526" i="5"/>
  <c r="AH469" i="5"/>
  <c r="AI469" i="5"/>
  <c r="AH402" i="5"/>
  <c r="AI309" i="5"/>
  <c r="AH309" i="5"/>
  <c r="AH254" i="5"/>
  <c r="AI254" i="5"/>
  <c r="AI240" i="5"/>
  <c r="AI364" i="5"/>
  <c r="AH364" i="5"/>
  <c r="AH488" i="5"/>
  <c r="AI488" i="5"/>
  <c r="AH373" i="5"/>
  <c r="AI373" i="5"/>
  <c r="AI360" i="5"/>
  <c r="AH424" i="5"/>
  <c r="AI424" i="5"/>
  <c r="AH363" i="5"/>
  <c r="AI363" i="5"/>
  <c r="AI253" i="5"/>
  <c r="AH253" i="5"/>
  <c r="AI190" i="5"/>
  <c r="AH190" i="5"/>
  <c r="AH180" i="5"/>
  <c r="AI180" i="5"/>
  <c r="AI97" i="5"/>
  <c r="AH97" i="5"/>
  <c r="AI182" i="5"/>
  <c r="AH154" i="5"/>
  <c r="AI154" i="5"/>
  <c r="AH144" i="5"/>
  <c r="AH118" i="5"/>
  <c r="AI118" i="5"/>
  <c r="AH193" i="5"/>
  <c r="AI193" i="5"/>
  <c r="AH152" i="5"/>
  <c r="AI152" i="5"/>
  <c r="AH63" i="5"/>
  <c r="AI63" i="5"/>
  <c r="AH42" i="5"/>
  <c r="AI42" i="5"/>
  <c r="AH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00" i="5"/>
  <c r="AI500" i="5"/>
  <c r="AH541" i="5"/>
  <c r="AI541" i="5"/>
  <c r="AI515" i="5"/>
  <c r="AH515" i="5"/>
  <c r="AI521" i="5"/>
  <c r="AI260" i="5"/>
  <c r="AI218" i="5"/>
  <c r="AH218" i="5"/>
  <c r="AI202" i="5"/>
  <c r="AH202" i="5"/>
  <c r="AH379" i="5"/>
  <c r="AI379" i="5"/>
  <c r="AH341" i="5"/>
  <c r="AH331" i="5"/>
  <c r="AI331" i="5"/>
  <c r="AI303" i="5"/>
  <c r="AH369" i="5"/>
  <c r="AI369" i="5"/>
  <c r="AH262" i="5"/>
  <c r="AI262" i="5"/>
  <c r="AH169" i="5"/>
  <c r="AH120" i="5"/>
  <c r="AI120" i="5"/>
  <c r="AI81" i="5"/>
  <c r="AI64" i="5"/>
  <c r="AH64" i="5"/>
  <c r="AI173" i="5"/>
  <c r="AH173" i="5"/>
  <c r="AI156" i="5"/>
  <c r="AH156" i="5"/>
  <c r="AH191" i="5"/>
  <c r="AI191" i="5"/>
  <c r="AH167" i="5"/>
  <c r="AI167" i="5"/>
  <c r="AI130" i="5"/>
  <c r="AH62" i="5"/>
  <c r="AI62" i="5"/>
  <c r="AH25" i="5"/>
  <c r="AI25"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I479" i="5"/>
  <c r="AH559" i="5"/>
  <c r="AI559" i="5"/>
  <c r="AH456" i="5"/>
  <c r="AI456" i="5"/>
  <c r="AI380" i="5"/>
  <c r="AI359" i="5"/>
  <c r="AH246" i="5"/>
  <c r="AH205" i="5"/>
  <c r="AI205" i="5"/>
  <c r="AI435" i="5"/>
  <c r="AI339" i="5"/>
  <c r="AH324" i="5"/>
  <c r="AI324" i="5"/>
  <c r="AH187" i="5"/>
  <c r="AI187" i="5"/>
  <c r="AH436" i="5"/>
  <c r="AI436" i="5"/>
  <c r="AI352" i="5"/>
  <c r="AH352" i="5"/>
  <c r="AH330" i="5"/>
  <c r="AI330" i="5"/>
  <c r="AH251" i="5"/>
  <c r="AI251" i="5"/>
  <c r="AH220" i="5"/>
  <c r="AI220" i="5"/>
  <c r="AI368" i="5"/>
  <c r="AH368" i="5"/>
  <c r="AH291" i="5"/>
  <c r="AI291" i="5"/>
  <c r="AH233" i="5"/>
  <c r="AI233" i="5"/>
  <c r="AI210" i="5"/>
  <c r="AH210" i="5"/>
  <c r="AH166" i="5"/>
  <c r="AI166" i="5"/>
  <c r="AI134" i="5"/>
  <c r="AH134" i="5"/>
  <c r="AI185" i="5"/>
  <c r="AH185" i="5"/>
  <c r="AH108" i="5"/>
  <c r="AI108" i="5"/>
  <c r="AH159" i="5"/>
  <c r="AI159" i="5"/>
  <c r="AI135" i="5"/>
  <c r="AH135" i="5"/>
  <c r="AH47" i="5"/>
  <c r="AI47" i="5"/>
  <c r="AI165" i="5"/>
  <c r="AH165" i="5"/>
  <c r="AH67" i="5"/>
  <c r="AI67" i="5"/>
  <c r="AH24" i="5"/>
  <c r="AI24"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I174" i="5" l="1"/>
  <c r="AI28" i="5"/>
  <c r="AI78" i="5"/>
  <c r="AH354" i="5"/>
  <c r="AI538" i="5"/>
  <c r="AH234" i="5"/>
  <c r="AI337" i="5"/>
  <c r="AI399" i="5"/>
  <c r="AI509" i="5"/>
  <c r="AI551" i="5"/>
  <c r="AI320" i="5"/>
  <c r="AH186" i="5"/>
  <c r="AH243" i="5"/>
  <c r="AI461" i="5"/>
  <c r="AI100" i="5"/>
  <c r="AH60" i="5"/>
  <c r="AI178" i="5"/>
  <c r="AI395" i="5"/>
  <c r="AI361" i="5"/>
  <c r="AH226" i="5"/>
  <c r="AP83" i="5"/>
  <c r="AP320" i="5"/>
  <c r="BI320" i="5" s="1"/>
  <c r="AP404" i="5"/>
  <c r="BI404" i="5" s="1"/>
  <c r="AP413" i="5"/>
  <c r="AQ413" i="5" s="1"/>
  <c r="AI22" i="5"/>
  <c r="AI76" i="5"/>
  <c r="AI413" i="5"/>
  <c r="AI228" i="5"/>
  <c r="AI83" i="5"/>
  <c r="AI141" i="5"/>
  <c r="AP227" i="5"/>
  <c r="BI227" i="5" s="1"/>
  <c r="AP196" i="5"/>
  <c r="BI196" i="5" s="1"/>
  <c r="AP107" i="5"/>
  <c r="AP491" i="5"/>
  <c r="AP76" i="5"/>
  <c r="AR76" i="5" s="1"/>
  <c r="AP551" i="5"/>
  <c r="AP26" i="5"/>
  <c r="AP317" i="5"/>
  <c r="AR317" i="5" s="1"/>
  <c r="AP449" i="5"/>
  <c r="AQ449" i="5" s="1"/>
  <c r="AP509" i="5"/>
  <c r="AQ509" i="5" s="1"/>
  <c r="AP186" i="5"/>
  <c r="AP461" i="5"/>
  <c r="AP466" i="5"/>
  <c r="BI466" i="5" s="1"/>
  <c r="AP30" i="5"/>
  <c r="AP141" i="5"/>
  <c r="AI30" i="5"/>
  <c r="AH84" i="5"/>
  <c r="AI272" i="5"/>
  <c r="AI212" i="5"/>
  <c r="AI446" i="5"/>
  <c r="AI227" i="5"/>
  <c r="AH491" i="5"/>
  <c r="AP243" i="5"/>
  <c r="AP84" i="5"/>
  <c r="BI84" i="5" s="1"/>
  <c r="AP212" i="5"/>
  <c r="BI212" i="5" s="1"/>
  <c r="AP272" i="5"/>
  <c r="AR272" i="5" s="1"/>
  <c r="AP133" i="5"/>
  <c r="AP28" i="5"/>
  <c r="AP31" i="5"/>
  <c r="AQ31" i="5" s="1"/>
  <c r="AP209" i="5"/>
  <c r="AP178" i="5"/>
  <c r="AI275" i="5"/>
  <c r="AI404" i="5"/>
  <c r="AI26" i="5"/>
  <c r="AI90" i="5"/>
  <c r="AI408" i="5"/>
  <c r="AH12" i="5"/>
  <c r="AP100" i="5"/>
  <c r="AP228" i="5"/>
  <c r="AP395" i="5"/>
  <c r="BI395" i="5" s="1"/>
  <c r="AP174" i="5"/>
  <c r="AR174" i="5" s="1"/>
  <c r="AP446" i="5"/>
  <c r="BI446" i="5" s="1"/>
  <c r="AI196" i="5"/>
  <c r="AI319" i="5"/>
  <c r="AP275" i="5"/>
  <c r="AQ275" i="5" s="1"/>
  <c r="AP399" i="5"/>
  <c r="AP337" i="5"/>
  <c r="AP90" i="5"/>
  <c r="BI90" i="5" s="1"/>
  <c r="AP479" i="5"/>
  <c r="AQ479" i="5" s="1"/>
  <c r="AP222" i="5"/>
  <c r="BI222" i="5" s="1"/>
  <c r="AP71" i="5"/>
  <c r="AP204" i="5"/>
  <c r="AH449" i="5"/>
  <c r="AP341" i="5"/>
  <c r="AP542" i="5"/>
  <c r="BI542" i="5" s="1"/>
  <c r="AN43" i="4"/>
  <c r="AN75" i="4"/>
  <c r="AN107" i="4"/>
  <c r="AN139" i="4"/>
  <c r="AN82" i="4"/>
  <c r="AN154" i="4"/>
  <c r="AN79" i="4"/>
  <c r="AN143" i="4"/>
  <c r="AN20" i="4"/>
  <c r="AN64" i="4"/>
  <c r="AN114" i="4"/>
  <c r="AN19" i="4"/>
  <c r="AN152" i="4"/>
  <c r="AN78" i="4"/>
  <c r="AN21" i="4"/>
  <c r="AN96" i="4"/>
  <c r="AN41" i="4"/>
  <c r="AN74" i="4"/>
  <c r="AN59" i="4"/>
  <c r="AN91" i="4"/>
  <c r="AN123" i="4"/>
  <c r="AN155" i="4"/>
  <c r="AN60" i="4"/>
  <c r="AN146" i="4"/>
  <c r="AN40" i="4"/>
  <c r="AN16" i="4"/>
  <c r="AN90" i="4"/>
  <c r="AN63" i="4"/>
  <c r="AN110" i="4"/>
  <c r="AN12" i="4"/>
  <c r="AN128" i="4"/>
  <c r="AN54" i="4"/>
  <c r="AN145" i="4"/>
  <c r="AN27" i="4"/>
  <c r="AN72" i="4"/>
  <c r="AN13" i="4"/>
  <c r="AN92" i="4"/>
  <c r="AN85" i="4"/>
  <c r="AN14" i="4"/>
  <c r="AN122" i="4"/>
  <c r="AN32" i="4"/>
  <c r="AN89" i="4"/>
  <c r="AN121" i="4"/>
  <c r="AN86" i="4"/>
  <c r="AN24" i="4"/>
  <c r="AP538" i="5"/>
  <c r="BI538" i="5" s="1"/>
  <c r="AP539" i="5"/>
  <c r="AP402" i="5"/>
  <c r="BI402" i="5" s="1"/>
  <c r="AI440" i="5"/>
  <c r="AH340" i="5"/>
  <c r="AI342" i="5"/>
  <c r="AI192" i="5"/>
  <c r="AI351" i="5"/>
  <c r="AP342" i="5"/>
  <c r="BI342" i="5" s="1"/>
  <c r="AI184" i="5"/>
  <c r="AI164" i="5"/>
  <c r="AP139" i="5"/>
  <c r="BI139" i="5" s="1"/>
  <c r="AP85" i="5"/>
  <c r="BI85" i="5" s="1"/>
  <c r="AP434" i="5"/>
  <c r="BI434" i="5" s="1"/>
  <c r="AH155" i="5"/>
  <c r="AH525" i="5"/>
  <c r="AI270" i="5"/>
  <c r="AI279" i="5"/>
  <c r="AI112" i="5"/>
  <c r="AH535" i="5"/>
  <c r="AP467" i="5"/>
  <c r="AQ467" i="5" s="1"/>
  <c r="AP155" i="5"/>
  <c r="AR155" i="5" s="1"/>
  <c r="AP279" i="5"/>
  <c r="AQ279" i="5" s="1"/>
  <c r="AP473" i="5"/>
  <c r="AI409" i="5"/>
  <c r="AI58" i="5"/>
  <c r="AP99" i="5"/>
  <c r="BI99" i="5" s="1"/>
  <c r="AP351" i="5"/>
  <c r="BI351" i="5" s="1"/>
  <c r="AP192" i="5"/>
  <c r="BI192" i="5" s="1"/>
  <c r="AH99" i="5"/>
  <c r="AH403" i="5"/>
  <c r="AI85" i="5"/>
  <c r="AH301" i="5"/>
  <c r="AH485" i="5"/>
  <c r="AI91" i="5"/>
  <c r="AI136" i="5"/>
  <c r="AP184" i="5"/>
  <c r="BI184" i="5" s="1"/>
  <c r="AP416" i="5"/>
  <c r="BI416" i="5" s="1"/>
  <c r="AP321" i="5"/>
  <c r="AQ321" i="5" s="1"/>
  <c r="AI434" i="5"/>
  <c r="AP164" i="5"/>
  <c r="BI164" i="5" s="1"/>
  <c r="AP48" i="5"/>
  <c r="AR48" i="5" s="1"/>
  <c r="AP525" i="5"/>
  <c r="AQ525" i="5" s="1"/>
  <c r="AP270" i="5"/>
  <c r="BI270" i="5" s="1"/>
  <c r="AI53" i="5"/>
  <c r="AH139" i="5"/>
  <c r="AH389" i="5"/>
  <c r="AI48" i="5"/>
  <c r="AH473" i="5"/>
  <c r="AI416" i="5"/>
  <c r="AP112" i="5"/>
  <c r="BI112" i="5" s="1"/>
  <c r="AH467" i="5"/>
  <c r="AH439" i="5"/>
  <c r="AI475" i="5"/>
  <c r="AI513" i="5"/>
  <c r="AP439" i="5"/>
  <c r="BI439" i="5" s="1"/>
  <c r="AP388" i="5"/>
  <c r="AQ388" i="5" s="1"/>
  <c r="AP340" i="5"/>
  <c r="AQ340" i="5" s="1"/>
  <c r="AP513" i="5"/>
  <c r="AR513" i="5" s="1"/>
  <c r="AI503" i="5"/>
  <c r="AH177" i="5"/>
  <c r="AI466" i="5"/>
  <c r="AH321" i="5"/>
  <c r="AP313" i="5"/>
  <c r="BI313" i="5" s="1"/>
  <c r="AP354" i="5"/>
  <c r="BI354" i="5" s="1"/>
  <c r="AP58" i="5"/>
  <c r="AQ58" i="5" s="1"/>
  <c r="AH313" i="5"/>
  <c r="AP503" i="5"/>
  <c r="AQ503" i="5" s="1"/>
  <c r="AP177" i="5"/>
  <c r="AR177" i="5" s="1"/>
  <c r="AP403" i="5"/>
  <c r="BI403" i="5" s="1"/>
  <c r="AP91" i="5"/>
  <c r="AR91" i="5" s="1"/>
  <c r="AP535" i="5"/>
  <c r="AP53" i="5"/>
  <c r="BI53" i="5" s="1"/>
  <c r="AP301" i="5"/>
  <c r="AQ301" i="5" s="1"/>
  <c r="AP409" i="5"/>
  <c r="AQ409" i="5" s="1"/>
  <c r="AH421" i="5"/>
  <c r="AH527" i="5"/>
  <c r="AP260" i="5"/>
  <c r="BI260" i="5" s="1"/>
  <c r="AP299" i="5"/>
  <c r="BI299" i="5" s="1"/>
  <c r="AP518" i="5"/>
  <c r="BI518" i="5" s="1"/>
  <c r="AP219" i="5"/>
  <c r="AQ219" i="5" s="1"/>
  <c r="AP25" i="5"/>
  <c r="BI25" i="5" s="1"/>
  <c r="AI329" i="5"/>
  <c r="AH496" i="5"/>
  <c r="AP440" i="5"/>
  <c r="BI440" i="5" s="1"/>
  <c r="AP520" i="5"/>
  <c r="BI520" i="5" s="1"/>
  <c r="AI302" i="5"/>
  <c r="AP307" i="5"/>
  <c r="BI307" i="5" s="1"/>
  <c r="AP496" i="5"/>
  <c r="BI496" i="5" s="1"/>
  <c r="AP505" i="5"/>
  <c r="BI505" i="5" s="1"/>
  <c r="AP493" i="5"/>
  <c r="BI493" i="5" s="1"/>
  <c r="AP113" i="5"/>
  <c r="AQ113" i="5" s="1"/>
  <c r="AP40" i="5"/>
  <c r="AQ40" i="5" s="1"/>
  <c r="AP250" i="5"/>
  <c r="AQ250" i="5" s="1"/>
  <c r="AH338" i="5"/>
  <c r="AH558" i="5"/>
  <c r="AP326" i="5"/>
  <c r="AR326" i="5" s="1"/>
  <c r="AN148" i="4"/>
  <c r="AN106" i="4"/>
  <c r="AN18" i="4"/>
  <c r="AN70" i="4"/>
  <c r="AN38" i="4"/>
  <c r="AN23" i="4"/>
  <c r="AP195" i="5"/>
  <c r="BI195" i="5" s="1"/>
  <c r="AH378" i="5"/>
  <c r="AI252" i="5"/>
  <c r="AN153" i="4"/>
  <c r="AN52" i="4"/>
  <c r="AN22" i="4"/>
  <c r="AN37" i="4"/>
  <c r="AN8" i="4"/>
  <c r="AN61" i="4"/>
  <c r="AN120" i="4"/>
  <c r="AN140" i="4"/>
  <c r="AN97" i="4"/>
  <c r="AN129" i="4"/>
  <c r="AN11" i="4"/>
  <c r="AH431" i="5"/>
  <c r="AH13" i="5"/>
  <c r="AN51" i="4"/>
  <c r="AN115" i="4"/>
  <c r="AN147" i="4"/>
  <c r="AN33" i="4"/>
  <c r="AN133" i="4"/>
  <c r="AN100" i="4"/>
  <c r="AN55" i="4"/>
  <c r="AN44" i="4"/>
  <c r="AI27" i="5"/>
  <c r="AH50" i="5"/>
  <c r="AH195" i="5"/>
  <c r="AP311" i="5"/>
  <c r="AR311" i="5" s="1"/>
  <c r="AP526" i="5"/>
  <c r="BI526" i="5" s="1"/>
  <c r="AI129" i="5"/>
  <c r="AH121" i="5"/>
  <c r="AP148" i="5"/>
  <c r="BI148" i="5" s="1"/>
  <c r="AP8" i="5"/>
  <c r="BI8" i="5" s="1"/>
  <c r="AN105" i="4"/>
  <c r="AN150" i="4"/>
  <c r="AP430" i="5"/>
  <c r="BI430" i="5" s="1"/>
  <c r="AI208" i="5"/>
  <c r="AH533" i="5"/>
  <c r="AI109" i="5"/>
  <c r="AP296" i="5"/>
  <c r="AQ296" i="5" s="1"/>
  <c r="AP285" i="5"/>
  <c r="AP256" i="5"/>
  <c r="BI256" i="5" s="1"/>
  <c r="AP273" i="5"/>
  <c r="BI273" i="5" s="1"/>
  <c r="AP266" i="5"/>
  <c r="AR266" i="5" s="1"/>
  <c r="AP558" i="5"/>
  <c r="AQ558" i="5" s="1"/>
  <c r="AI110" i="5"/>
  <c r="AI256" i="5"/>
  <c r="AI445" i="5"/>
  <c r="AI125" i="5"/>
  <c r="AI266" i="5"/>
  <c r="AP244" i="5"/>
  <c r="BI244" i="5" s="1"/>
  <c r="AP104" i="5"/>
  <c r="BI104" i="5" s="1"/>
  <c r="AP428" i="5"/>
  <c r="AQ428" i="5" s="1"/>
  <c r="AP109" i="5"/>
  <c r="AQ109" i="5" s="1"/>
  <c r="AP65" i="5"/>
  <c r="BI65" i="5" s="1"/>
  <c r="AH285" i="5"/>
  <c r="AH384" i="5"/>
  <c r="AI508" i="5"/>
  <c r="AP125" i="5"/>
  <c r="BI125" i="5" s="1"/>
  <c r="AI160" i="5"/>
  <c r="AH494" i="5"/>
  <c r="AP504" i="5"/>
  <c r="AR504" i="5" s="1"/>
  <c r="AP280" i="5"/>
  <c r="BI280" i="5" s="1"/>
  <c r="AP169" i="5"/>
  <c r="AQ169" i="5" s="1"/>
  <c r="AP110" i="5"/>
  <c r="AP445" i="5"/>
  <c r="AQ445" i="5" s="1"/>
  <c r="AP116" i="5"/>
  <c r="BI116" i="5" s="1"/>
  <c r="AP384" i="5"/>
  <c r="AQ384" i="5" s="1"/>
  <c r="AP121" i="5"/>
  <c r="AQ121" i="5" s="1"/>
  <c r="AP429" i="5"/>
  <c r="AQ429" i="5" s="1"/>
  <c r="AP182" i="5"/>
  <c r="AQ182" i="5" s="1"/>
  <c r="AH430" i="5"/>
  <c r="AI225" i="5"/>
  <c r="AP495" i="5"/>
  <c r="AQ495" i="5" s="1"/>
  <c r="AP501" i="5"/>
  <c r="AR501" i="5" s="1"/>
  <c r="AP214" i="5"/>
  <c r="AQ214" i="5" s="1"/>
  <c r="AP258" i="5"/>
  <c r="AQ258" i="5" s="1"/>
  <c r="AN26" i="4"/>
  <c r="AN116" i="4"/>
  <c r="AN36" i="4"/>
  <c r="AP289" i="5"/>
  <c r="BI289" i="5" s="1"/>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R451" i="5" s="1"/>
  <c r="AP75" i="5"/>
  <c r="AR75" i="5" s="1"/>
  <c r="AP267" i="5"/>
  <c r="AQ267" i="5" s="1"/>
  <c r="AP72" i="5"/>
  <c r="BI72" i="5" s="1"/>
  <c r="AP88" i="5"/>
  <c r="BI88" i="5" s="1"/>
  <c r="AP79" i="5"/>
  <c r="AP35" i="5"/>
  <c r="AQ35" i="5" s="1"/>
  <c r="AP157" i="5"/>
  <c r="BI157" i="5" s="1"/>
  <c r="AP221" i="5"/>
  <c r="BI221" i="5" s="1"/>
  <c r="AP149" i="5"/>
  <c r="AQ149" i="5" s="1"/>
  <c r="AP213" i="5"/>
  <c r="BI213" i="5" s="1"/>
  <c r="AP393" i="5"/>
  <c r="AR393" i="5" s="1"/>
  <c r="AP32" i="5"/>
  <c r="BI32" i="5" s="1"/>
  <c r="AP318" i="5"/>
  <c r="BI318" i="5" s="1"/>
  <c r="AP29" i="5"/>
  <c r="BI29" i="5" s="1"/>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BI147" i="5" s="1"/>
  <c r="AP411" i="5"/>
  <c r="BI411" i="5" s="1"/>
  <c r="AP60" i="5"/>
  <c r="BI60" i="5" s="1"/>
  <c r="AP124" i="5"/>
  <c r="AR124" i="5" s="1"/>
  <c r="AP391" i="5"/>
  <c r="BI391" i="5" s="1"/>
  <c r="AP407" i="5"/>
  <c r="BI407" i="5" s="1"/>
  <c r="AP232" i="5"/>
  <c r="AP80" i="5"/>
  <c r="BI80" i="5" s="1"/>
  <c r="AP312" i="5"/>
  <c r="BI312" i="5" s="1"/>
  <c r="AP229" i="5"/>
  <c r="BI229" i="5" s="1"/>
  <c r="AP293" i="5"/>
  <c r="BI293" i="5" s="1"/>
  <c r="AP126" i="5"/>
  <c r="BI126" i="5" s="1"/>
  <c r="AP49" i="5"/>
  <c r="BI49" i="5" s="1"/>
  <c r="AP146" i="5"/>
  <c r="AQ146" i="5" s="1"/>
  <c r="AP158" i="5"/>
  <c r="BI158" i="5" s="1"/>
  <c r="AP386" i="5"/>
  <c r="AQ386" i="5" s="1"/>
  <c r="AP206" i="5"/>
  <c r="AQ206" i="5" s="1"/>
  <c r="AP302" i="5"/>
  <c r="AR302" i="5" s="1"/>
  <c r="AP350" i="5"/>
  <c r="AR350" i="5" s="1"/>
  <c r="AP278" i="5"/>
  <c r="BI278" i="5" s="1"/>
  <c r="AI549" i="5"/>
  <c r="AH510" i="5"/>
  <c r="AH31" i="5"/>
  <c r="AH56" i="5"/>
  <c r="AI372" i="5"/>
  <c r="AI486" i="5"/>
  <c r="AH383" i="5"/>
  <c r="AH68" i="5"/>
  <c r="AI335" i="5"/>
  <c r="AH554" i="5"/>
  <c r="AP336" i="5"/>
  <c r="AP175" i="5"/>
  <c r="AQ175" i="5" s="1"/>
  <c r="AP319" i="5"/>
  <c r="AR319" i="5" s="1"/>
  <c r="AP463" i="5"/>
  <c r="AQ463" i="5" s="1"/>
  <c r="AP144" i="5"/>
  <c r="AR144" i="5" s="1"/>
  <c r="AP61" i="5"/>
  <c r="BI61" i="5" s="1"/>
  <c r="AP189" i="5"/>
  <c r="BI189" i="5" s="1"/>
  <c r="AP117" i="5"/>
  <c r="AQ117" i="5" s="1"/>
  <c r="AP181" i="5"/>
  <c r="BI181" i="5" s="1"/>
  <c r="AP385" i="5"/>
  <c r="BI385" i="5" s="1"/>
  <c r="AP274" i="5"/>
  <c r="BI274" i="5" s="1"/>
  <c r="AP338" i="5"/>
  <c r="BI338" i="5" s="1"/>
  <c r="AP524" i="5"/>
  <c r="AR524" i="5" s="1"/>
  <c r="AP41" i="5"/>
  <c r="BI41" i="5" s="1"/>
  <c r="AP414" i="5"/>
  <c r="BI414" i="5" s="1"/>
  <c r="AH504" i="5"/>
  <c r="AI482" i="5"/>
  <c r="AI82" i="5"/>
  <c r="AI280" i="5"/>
  <c r="AI448" i="5"/>
  <c r="AI492" i="5"/>
  <c r="AI273" i="5"/>
  <c r="AI516" i="5"/>
  <c r="AI287" i="5"/>
  <c r="AI390" i="5"/>
  <c r="AI555" i="5"/>
  <c r="AH111" i="5"/>
  <c r="AI223" i="5"/>
  <c r="AI346" i="5"/>
  <c r="AH238" i="5"/>
  <c r="AH511" i="5"/>
  <c r="AH140" i="5"/>
  <c r="AP334" i="5"/>
  <c r="BI334" i="5" s="1"/>
  <c r="AH299" i="5"/>
  <c r="AH388" i="5"/>
  <c r="AI394" i="5"/>
  <c r="AH471" i="5"/>
  <c r="AH107" i="5"/>
  <c r="AH230" i="5"/>
  <c r="AI326" i="5"/>
  <c r="AH507" i="5"/>
  <c r="AI468" i="5"/>
  <c r="AI560" i="5"/>
  <c r="AP507" i="5"/>
  <c r="AQ507" i="5" s="1"/>
  <c r="AP408" i="5"/>
  <c r="BI408" i="5" s="1"/>
  <c r="AP471" i="5"/>
  <c r="AQ471" i="5" s="1"/>
  <c r="AP527" i="5"/>
  <c r="BI527" i="5" s="1"/>
  <c r="AP560" i="5"/>
  <c r="BI560" i="5" s="1"/>
  <c r="AP468" i="5"/>
  <c r="BI468" i="5" s="1"/>
  <c r="AI101" i="5"/>
  <c r="AH317" i="5"/>
  <c r="AI532" i="5"/>
  <c r="AH459" i="5"/>
  <c r="AH311" i="5"/>
  <c r="AI406" i="5"/>
  <c r="AH556" i="5"/>
  <c r="AP459" i="5"/>
  <c r="BI459" i="5" s="1"/>
  <c r="AP303" i="5"/>
  <c r="BI303" i="5" s="1"/>
  <c r="AP218" i="5"/>
  <c r="BI218" i="5" s="1"/>
  <c r="AP389" i="5"/>
  <c r="AQ389" i="5" s="1"/>
  <c r="AP485" i="5"/>
  <c r="AQ485" i="5" s="1"/>
  <c r="AP394" i="5"/>
  <c r="AQ394" i="5" s="1"/>
  <c r="AP475" i="5"/>
  <c r="BI475" i="5" s="1"/>
  <c r="AP532" i="5"/>
  <c r="AR532" i="5" s="1"/>
  <c r="AP101" i="5"/>
  <c r="BI101" i="5" s="1"/>
  <c r="AP329" i="5"/>
  <c r="AR329" i="5" s="1"/>
  <c r="AH355" i="5"/>
  <c r="AH73" i="5"/>
  <c r="AI455" i="5"/>
  <c r="AI543" i="5"/>
  <c r="AI179" i="5"/>
  <c r="AH347" i="5"/>
  <c r="AI211" i="5"/>
  <c r="AH261" i="5"/>
  <c r="AH296" i="5"/>
  <c r="AH387" i="5"/>
  <c r="AH444" i="5"/>
  <c r="AP435" i="5"/>
  <c r="BI435" i="5" s="1"/>
  <c r="AP187" i="5"/>
  <c r="AQ187" i="5" s="1"/>
  <c r="AP251" i="5"/>
  <c r="AQ251" i="5" s="1"/>
  <c r="AP315" i="5"/>
  <c r="AR315" i="5" s="1"/>
  <c r="AP379" i="5"/>
  <c r="AR379" i="5" s="1"/>
  <c r="AP455" i="5"/>
  <c r="BI455" i="5" s="1"/>
  <c r="AP472" i="5"/>
  <c r="BI472" i="5" s="1"/>
  <c r="AP480" i="5"/>
  <c r="BI480" i="5" s="1"/>
  <c r="AP191" i="5"/>
  <c r="BI191" i="5" s="1"/>
  <c r="AP552" i="5"/>
  <c r="BI552" i="5" s="1"/>
  <c r="AP185" i="5"/>
  <c r="BI185" i="5" s="1"/>
  <c r="AP378" i="5"/>
  <c r="AQ378" i="5" s="1"/>
  <c r="AP442" i="5"/>
  <c r="BI442" i="5" s="1"/>
  <c r="AP382" i="5"/>
  <c r="BI382" i="5" s="1"/>
  <c r="AH305" i="5"/>
  <c r="AI480" i="5"/>
  <c r="AH531" i="5"/>
  <c r="AI529" i="5"/>
  <c r="AI128" i="5"/>
  <c r="AI315" i="5"/>
  <c r="AI292" i="5"/>
  <c r="AH365" i="5"/>
  <c r="AH242" i="5"/>
  <c r="AI472" i="5"/>
  <c r="AH542" i="5"/>
  <c r="AH257" i="5"/>
  <c r="AI314" i="5"/>
  <c r="AI552" i="5"/>
  <c r="AI544" i="5"/>
  <c r="AP531" i="5"/>
  <c r="BI531" i="5" s="1"/>
  <c r="AP347" i="5"/>
  <c r="BI347" i="5" s="1"/>
  <c r="AP135" i="5"/>
  <c r="BI135" i="5" s="1"/>
  <c r="AP448" i="5"/>
  <c r="AQ448" i="5" s="1"/>
  <c r="AP111" i="5"/>
  <c r="BI111" i="5" s="1"/>
  <c r="AP367" i="5"/>
  <c r="BI367" i="5" s="1"/>
  <c r="AP444" i="5"/>
  <c r="BI444" i="5" s="1"/>
  <c r="AP548" i="5"/>
  <c r="AR548" i="5" s="1"/>
  <c r="AP173" i="5"/>
  <c r="BI173" i="5" s="1"/>
  <c r="AP300" i="5"/>
  <c r="BI300" i="5" s="1"/>
  <c r="AP210" i="5"/>
  <c r="BI210" i="5" s="1"/>
  <c r="AP129" i="5"/>
  <c r="BI129" i="5" s="1"/>
  <c r="AP24" i="5"/>
  <c r="AR24" i="5" s="1"/>
  <c r="AP21" i="5"/>
  <c r="BI21" i="5" s="1"/>
  <c r="AP291" i="5"/>
  <c r="BI291" i="5" s="1"/>
  <c r="AP355" i="5"/>
  <c r="AQ355" i="5" s="1"/>
  <c r="AP547" i="5"/>
  <c r="BI547" i="5" s="1"/>
  <c r="AP555" i="5"/>
  <c r="BI555" i="5" s="1"/>
  <c r="AP140" i="5"/>
  <c r="BI140" i="5" s="1"/>
  <c r="AP252" i="5"/>
  <c r="BI252" i="5" s="1"/>
  <c r="AP431" i="5"/>
  <c r="AR431" i="5" s="1"/>
  <c r="AP544" i="5"/>
  <c r="BI544" i="5" s="1"/>
  <c r="AP508" i="5"/>
  <c r="BI508" i="5" s="1"/>
  <c r="AP436" i="5"/>
  <c r="BI436" i="5" s="1"/>
  <c r="AP50" i="5"/>
  <c r="AQ50" i="5" s="1"/>
  <c r="AP166" i="5"/>
  <c r="AR166" i="5" s="1"/>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AR308" i="5" s="1"/>
  <c r="AP263" i="5"/>
  <c r="AQ263" i="5" s="1"/>
  <c r="AP519" i="5"/>
  <c r="AR519" i="5" s="1"/>
  <c r="AP151" i="5"/>
  <c r="AQ151" i="5" s="1"/>
  <c r="AP316" i="5"/>
  <c r="BI316" i="5" s="1"/>
  <c r="AP143" i="5"/>
  <c r="BI143" i="5" s="1"/>
  <c r="AP335" i="5"/>
  <c r="BI335" i="5" s="1"/>
  <c r="AP216" i="5"/>
  <c r="AR216" i="5" s="1"/>
  <c r="AP237" i="5"/>
  <c r="AQ237" i="5" s="1"/>
  <c r="AP357" i="5"/>
  <c r="BI357" i="5" s="1"/>
  <c r="AP249" i="5"/>
  <c r="AR249" i="5" s="1"/>
  <c r="AP433" i="5"/>
  <c r="AR433" i="5" s="1"/>
  <c r="AP557" i="5"/>
  <c r="BI557" i="5" s="1"/>
  <c r="AP453" i="5"/>
  <c r="AQ453" i="5" s="1"/>
  <c r="AP450" i="5"/>
  <c r="BI450" i="5" s="1"/>
  <c r="AP549" i="5"/>
  <c r="BI549" i="5" s="1"/>
  <c r="AP510" i="5"/>
  <c r="AQ510" i="5" s="1"/>
  <c r="AP374" i="5"/>
  <c r="BI374" i="5" s="1"/>
  <c r="AP454" i="5"/>
  <c r="BI454" i="5" s="1"/>
  <c r="AH362" i="5"/>
  <c r="AP68" i="5"/>
  <c r="BI68" i="5" s="1"/>
  <c r="AP132" i="5"/>
  <c r="AR132" i="5" s="1"/>
  <c r="AP171" i="5"/>
  <c r="BI171" i="5" s="1"/>
  <c r="AP392" i="5"/>
  <c r="AR392" i="5" s="1"/>
  <c r="AP400" i="5"/>
  <c r="BI400" i="5" s="1"/>
  <c r="AP460" i="5"/>
  <c r="BI460" i="5" s="1"/>
  <c r="AP536" i="5"/>
  <c r="BI536" i="5" s="1"/>
  <c r="AP383" i="5"/>
  <c r="AR383" i="5" s="1"/>
  <c r="AP476" i="5"/>
  <c r="AR476" i="5" s="1"/>
  <c r="AP39" i="5"/>
  <c r="BI39" i="5" s="1"/>
  <c r="AP425" i="5"/>
  <c r="AR425" i="5" s="1"/>
  <c r="AP553" i="5"/>
  <c r="AQ553" i="5" s="1"/>
  <c r="AP381" i="5"/>
  <c r="AR381" i="5" s="1"/>
  <c r="AP298" i="5"/>
  <c r="BI298" i="5" s="1"/>
  <c r="AP554" i="5"/>
  <c r="BI554" i="5" s="1"/>
  <c r="AP486" i="5"/>
  <c r="AQ486" i="5" s="1"/>
  <c r="AP498" i="5"/>
  <c r="AQ498" i="5" s="1"/>
  <c r="AP517" i="5"/>
  <c r="BI517" i="5" s="1"/>
  <c r="AP259" i="5"/>
  <c r="BI259" i="5" s="1"/>
  <c r="AP323" i="5"/>
  <c r="AQ323" i="5" s="1"/>
  <c r="AP203" i="5"/>
  <c r="BI203" i="5" s="1"/>
  <c r="AP103" i="5"/>
  <c r="BI103" i="5" s="1"/>
  <c r="AP375" i="5"/>
  <c r="AR375" i="5" s="1"/>
  <c r="AP396" i="5"/>
  <c r="BI396" i="5" s="1"/>
  <c r="AP268" i="5"/>
  <c r="BI268" i="5" s="1"/>
  <c r="AP512" i="5"/>
  <c r="BI512" i="5" s="1"/>
  <c r="AP277" i="5"/>
  <c r="BI277" i="5" s="1"/>
  <c r="AP297" i="5"/>
  <c r="AQ297" i="5" s="1"/>
  <c r="AP372" i="5"/>
  <c r="BI372" i="5" s="1"/>
  <c r="AP481" i="5"/>
  <c r="AR481" i="5" s="1"/>
  <c r="AP545" i="5"/>
  <c r="AR545" i="5" s="1"/>
  <c r="AP397" i="5"/>
  <c r="BI397" i="5" s="1"/>
  <c r="AP437" i="5"/>
  <c r="AQ437" i="5" s="1"/>
  <c r="AP230" i="5"/>
  <c r="BI230" i="5" s="1"/>
  <c r="AP492" i="5"/>
  <c r="BI492" i="5" s="1"/>
  <c r="AP369" i="5"/>
  <c r="AR369" i="5" s="1"/>
  <c r="AP346" i="5"/>
  <c r="BI346" i="5" s="1"/>
  <c r="AP305" i="5"/>
  <c r="AQ305" i="5" s="1"/>
  <c r="AP482" i="5"/>
  <c r="BI482" i="5" s="1"/>
  <c r="AP380" i="5"/>
  <c r="AQ380" i="5" s="1"/>
  <c r="AP128" i="5"/>
  <c r="BI128" i="5" s="1"/>
  <c r="AP73" i="5"/>
  <c r="AQ73" i="5" s="1"/>
  <c r="AP529" i="5"/>
  <c r="AR529" i="5" s="1"/>
  <c r="AP130" i="5"/>
  <c r="AR130" i="5" s="1"/>
  <c r="AP202" i="5"/>
  <c r="AQ202" i="5" s="1"/>
  <c r="AP365" i="5"/>
  <c r="BI365" i="5" s="1"/>
  <c r="AP82" i="5"/>
  <c r="BI82" i="5" s="1"/>
  <c r="AP257" i="5"/>
  <c r="AR257" i="5" s="1"/>
  <c r="AP421" i="5"/>
  <c r="AR421" i="5" s="1"/>
  <c r="AP314" i="5"/>
  <c r="BI314" i="5" s="1"/>
  <c r="AP238" i="5"/>
  <c r="AQ238" i="5" s="1"/>
  <c r="AP262" i="5"/>
  <c r="AQ262" i="5" s="1"/>
  <c r="AP246" i="5"/>
  <c r="AQ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X7" i="5" s="1"/>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Q105" i="5" s="1"/>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R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X11" i="5" s="1"/>
  <c r="AZ11" i="5"/>
  <c r="BB11" i="5" s="1"/>
  <c r="AT11" i="5"/>
  <c r="T11" i="5"/>
  <c r="U11" i="5" s="1"/>
  <c r="Q11" i="5"/>
  <c r="S11" i="5" s="1"/>
  <c r="AW11" i="5"/>
  <c r="AX11" i="5" s="1"/>
  <c r="AI241" i="5"/>
  <c r="AH241" i="5"/>
  <c r="AH419" i="5"/>
  <c r="AH415" i="5"/>
  <c r="AI462" i="5"/>
  <c r="AI52" i="5"/>
  <c r="AH286" i="5"/>
  <c r="AH258" i="5"/>
  <c r="AI162" i="5"/>
  <c r="AI219" i="5"/>
  <c r="AH127" i="5"/>
  <c r="AI477" i="5"/>
  <c r="AP115" i="5"/>
  <c r="AR115" i="5" s="1"/>
  <c r="AP499" i="5"/>
  <c r="BI499" i="5" s="1"/>
  <c r="AP276" i="5"/>
  <c r="BI276" i="5" s="1"/>
  <c r="AP59" i="5"/>
  <c r="BI59" i="5" s="1"/>
  <c r="AP123" i="5"/>
  <c r="AQ123" i="5" s="1"/>
  <c r="AP443" i="5"/>
  <c r="BI443" i="5" s="1"/>
  <c r="AP92" i="5"/>
  <c r="BI92" i="5" s="1"/>
  <c r="AP163" i="5"/>
  <c r="BI163" i="5" s="1"/>
  <c r="AP419" i="5"/>
  <c r="AQ419" i="5" s="1"/>
  <c r="AP483" i="5"/>
  <c r="AQ483" i="5" s="1"/>
  <c r="AP43" i="5"/>
  <c r="BI43" i="5" s="1"/>
  <c r="AP235" i="5"/>
  <c r="AQ235" i="5" s="1"/>
  <c r="AP19" i="5"/>
  <c r="BI19" i="5" s="1"/>
  <c r="AP295" i="5"/>
  <c r="BI295" i="5" s="1"/>
  <c r="AP423" i="5"/>
  <c r="AR423" i="5" s="1"/>
  <c r="AP328" i="5"/>
  <c r="AR328" i="5" s="1"/>
  <c r="AP183" i="5"/>
  <c r="BI183" i="5" s="1"/>
  <c r="AP464" i="5"/>
  <c r="AQ464" i="5" s="1"/>
  <c r="AP95" i="5"/>
  <c r="BI95" i="5" s="1"/>
  <c r="AP332" i="5"/>
  <c r="BI332" i="5" s="1"/>
  <c r="AP34" i="5"/>
  <c r="AQ34" i="5" s="1"/>
  <c r="AP176" i="5"/>
  <c r="AR176" i="5" s="1"/>
  <c r="AP420" i="5"/>
  <c r="AQ420" i="5" s="1"/>
  <c r="AP23" i="5"/>
  <c r="AQ23" i="5" s="1"/>
  <c r="AP245" i="5"/>
  <c r="AQ245" i="5" s="1"/>
  <c r="AP142" i="5"/>
  <c r="AQ142" i="5" s="1"/>
  <c r="AP153" i="5"/>
  <c r="AR153" i="5" s="1"/>
  <c r="AP281" i="5"/>
  <c r="AQ281" i="5" s="1"/>
  <c r="AP102" i="5"/>
  <c r="BI102" i="5" s="1"/>
  <c r="AP98" i="5"/>
  <c r="BI98" i="5" s="1"/>
  <c r="AP162" i="5"/>
  <c r="BI162" i="5" s="1"/>
  <c r="AP533" i="5"/>
  <c r="BI533" i="5" s="1"/>
  <c r="AP426" i="5"/>
  <c r="AQ426" i="5" s="1"/>
  <c r="AP198" i="5"/>
  <c r="AQ198" i="5" s="1"/>
  <c r="AP422" i="5"/>
  <c r="AQ422" i="5" s="1"/>
  <c r="AP286" i="5"/>
  <c r="BI286" i="5" s="1"/>
  <c r="AP327" i="5"/>
  <c r="AQ327" i="5" s="1"/>
  <c r="AP168" i="5"/>
  <c r="AR168" i="5" s="1"/>
  <c r="AP264" i="5"/>
  <c r="AR264" i="5" s="1"/>
  <c r="AP344" i="5"/>
  <c r="BI344" i="5" s="1"/>
  <c r="AP87" i="5"/>
  <c r="BI87" i="5" s="1"/>
  <c r="AP215" i="5"/>
  <c r="BI215" i="5" s="1"/>
  <c r="AP343" i="5"/>
  <c r="BI343" i="5" s="1"/>
  <c r="AP415" i="5"/>
  <c r="AQ415" i="5" s="1"/>
  <c r="AP224" i="5"/>
  <c r="BI224" i="5" s="1"/>
  <c r="AP484" i="5"/>
  <c r="AR484" i="5" s="1"/>
  <c r="AP269" i="5"/>
  <c r="BI269" i="5" s="1"/>
  <c r="AP333" i="5"/>
  <c r="BI333" i="5" s="1"/>
  <c r="AP197" i="5"/>
  <c r="BI197" i="5" s="1"/>
  <c r="AP325" i="5"/>
  <c r="BI325" i="5" s="1"/>
  <c r="AP377" i="5"/>
  <c r="AR377" i="5" s="1"/>
  <c r="AP441" i="5"/>
  <c r="BI441" i="5" s="1"/>
  <c r="AP94" i="5"/>
  <c r="AR94" i="5" s="1"/>
  <c r="AP401" i="5"/>
  <c r="AQ401" i="5" s="1"/>
  <c r="AP161" i="5"/>
  <c r="AR161" i="5" s="1"/>
  <c r="AP290" i="5"/>
  <c r="BI290" i="5" s="1"/>
  <c r="AP418" i="5"/>
  <c r="AR418" i="5" s="1"/>
  <c r="AP138" i="5"/>
  <c r="BI138" i="5" s="1"/>
  <c r="AP366" i="5"/>
  <c r="BI366" i="5" s="1"/>
  <c r="AP478" i="5"/>
  <c r="BI478" i="5" s="1"/>
  <c r="AP438" i="5"/>
  <c r="BI438" i="5" s="1"/>
  <c r="AP534" i="5"/>
  <c r="BI534" i="5" s="1"/>
  <c r="AP33" i="5"/>
  <c r="AQ33" i="5" s="1"/>
  <c r="AP131" i="5"/>
  <c r="AR131" i="5" s="1"/>
  <c r="AP38" i="5"/>
  <c r="AQ38" i="5" s="1"/>
  <c r="AP523" i="5"/>
  <c r="AR523" i="5" s="1"/>
  <c r="AP44" i="5"/>
  <c r="AR44" i="5" s="1"/>
  <c r="AP231" i="5"/>
  <c r="AQ231" i="5" s="1"/>
  <c r="AP359" i="5"/>
  <c r="BI359" i="5" s="1"/>
  <c r="AP487" i="5"/>
  <c r="AQ487" i="5" s="1"/>
  <c r="AP119" i="5"/>
  <c r="AQ119" i="5" s="1"/>
  <c r="AP247" i="5"/>
  <c r="AQ247" i="5" s="1"/>
  <c r="AP432" i="5"/>
  <c r="AQ432" i="5" s="1"/>
  <c r="AP127" i="5"/>
  <c r="BI127" i="5" s="1"/>
  <c r="AP255" i="5"/>
  <c r="BI255" i="5" s="1"/>
  <c r="AP248" i="5"/>
  <c r="AQ248" i="5" s="1"/>
  <c r="AP271" i="5"/>
  <c r="AQ271" i="5" s="1"/>
  <c r="AP160" i="5"/>
  <c r="AQ160" i="5" s="1"/>
  <c r="AP349" i="5"/>
  <c r="BI349" i="5" s="1"/>
  <c r="AP236" i="5"/>
  <c r="AQ236" i="5" s="1"/>
  <c r="AP540" i="5"/>
  <c r="AQ540" i="5" s="1"/>
  <c r="AP457" i="5"/>
  <c r="AR457" i="5" s="1"/>
  <c r="AP521" i="5"/>
  <c r="AQ521" i="5" s="1"/>
  <c r="AP46" i="5"/>
  <c r="BI46" i="5" s="1"/>
  <c r="AP345" i="5"/>
  <c r="AQ345" i="5" s="1"/>
  <c r="AP70" i="5"/>
  <c r="AQ70" i="5" s="1"/>
  <c r="AP194" i="5"/>
  <c r="AR194" i="5" s="1"/>
  <c r="AP370" i="5"/>
  <c r="AQ370" i="5" s="1"/>
  <c r="AP405" i="5"/>
  <c r="AR405" i="5" s="1"/>
  <c r="AP122" i="5"/>
  <c r="AR122" i="5" s="1"/>
  <c r="AP398" i="5"/>
  <c r="AR398" i="5" s="1"/>
  <c r="AP494" i="5"/>
  <c r="BI494" i="5" s="1"/>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AR543" i="5" s="1"/>
  <c r="AP452" i="5"/>
  <c r="AQ452" i="5" s="1"/>
  <c r="AP261" i="5"/>
  <c r="AQ261" i="5" s="1"/>
  <c r="AP465" i="5"/>
  <c r="AR465" i="5" s="1"/>
  <c r="AP54" i="5"/>
  <c r="AR54" i="5" s="1"/>
  <c r="AP211" i="5"/>
  <c r="AR211" i="5" s="1"/>
  <c r="AP287" i="5"/>
  <c r="BI287" i="5" s="1"/>
  <c r="BB10" i="5"/>
  <c r="H32" i="1"/>
  <c r="B63" i="2"/>
  <c r="B66" i="2"/>
  <c r="B80" i="2"/>
  <c r="R10" i="5"/>
  <c r="BC10" i="5"/>
  <c r="BD10" i="5" s="1"/>
  <c r="AJ9" i="5"/>
  <c r="AK9" i="5" s="1"/>
  <c r="AY10" i="5"/>
  <c r="B38" i="2"/>
  <c r="H21" i="1" s="1"/>
  <c r="AG9" i="5"/>
  <c r="AP10" i="5"/>
  <c r="AQ10" i="5" s="1"/>
  <c r="BI108" i="5"/>
  <c r="AQ108" i="5"/>
  <c r="AR108" i="5"/>
  <c r="BI172" i="5"/>
  <c r="AR172" i="5"/>
  <c r="AQ172" i="5"/>
  <c r="BI364" i="5"/>
  <c r="AQ364" i="5"/>
  <c r="AR364" i="5"/>
  <c r="BI556" i="5"/>
  <c r="AR556" i="5"/>
  <c r="AQ556" i="5"/>
  <c r="BI81" i="5"/>
  <c r="AQ81" i="5"/>
  <c r="AR81" i="5"/>
  <c r="BI145" i="5"/>
  <c r="AQ145" i="5"/>
  <c r="AR145" i="5"/>
  <c r="BI209" i="5"/>
  <c r="AR209" i="5"/>
  <c r="AQ209" i="5"/>
  <c r="AR150" i="5"/>
  <c r="BI150" i="5"/>
  <c r="AQ150" i="5"/>
  <c r="BI13" i="5"/>
  <c r="AR13" i="5"/>
  <c r="AQ13" i="5"/>
  <c r="AR159" i="5"/>
  <c r="BI159" i="5"/>
  <c r="AQ159" i="5"/>
  <c r="BI223" i="5"/>
  <c r="AQ223" i="5"/>
  <c r="AR223" i="5"/>
  <c r="BI447" i="5"/>
  <c r="AQ447" i="5"/>
  <c r="AR447" i="5"/>
  <c r="BI96" i="5"/>
  <c r="AQ96" i="5"/>
  <c r="AR96" i="5"/>
  <c r="BI288" i="5"/>
  <c r="AQ288" i="5"/>
  <c r="AR288" i="5"/>
  <c r="AQ352" i="5"/>
  <c r="BI352" i="5"/>
  <c r="AR352" i="5"/>
  <c r="BI133" i="5"/>
  <c r="AR133" i="5"/>
  <c r="AQ133" i="5"/>
  <c r="BI341" i="5"/>
  <c r="AR341" i="5"/>
  <c r="AQ341" i="5"/>
  <c r="BI469" i="5"/>
  <c r="AQ469" i="5"/>
  <c r="AR469" i="5"/>
  <c r="BI74" i="5"/>
  <c r="AQ74" i="5"/>
  <c r="AR74" i="5"/>
  <c r="AR330" i="5"/>
  <c r="BI330" i="5"/>
  <c r="AQ330" i="5"/>
  <c r="BI458" i="5"/>
  <c r="AR458" i="5"/>
  <c r="AQ458" i="5"/>
  <c r="BI522" i="5"/>
  <c r="AR522" i="5"/>
  <c r="AQ522" i="5"/>
  <c r="BI12" i="5"/>
  <c r="AR12" i="5"/>
  <c r="AQ12" i="5"/>
  <c r="BI243" i="5"/>
  <c r="AQ243" i="5"/>
  <c r="AR243" i="5"/>
  <c r="AQ52" i="5"/>
  <c r="BI52" i="5"/>
  <c r="AR52" i="5"/>
  <c r="BI180" i="5"/>
  <c r="AR180" i="5"/>
  <c r="AQ180" i="5"/>
  <c r="BI500" i="5"/>
  <c r="AQ500" i="5"/>
  <c r="AR500" i="5"/>
  <c r="BI89" i="5"/>
  <c r="AQ89" i="5"/>
  <c r="AR89" i="5"/>
  <c r="BI217" i="5"/>
  <c r="AQ217" i="5"/>
  <c r="AR217" i="5"/>
  <c r="BI473" i="5"/>
  <c r="AQ473" i="5"/>
  <c r="AR473" i="5"/>
  <c r="BI78" i="5"/>
  <c r="AR78" i="5"/>
  <c r="AQ78" i="5"/>
  <c r="BI551" i="5"/>
  <c r="AR551" i="5"/>
  <c r="AQ551" i="5"/>
  <c r="AR136" i="5"/>
  <c r="BI136" i="5"/>
  <c r="AQ136" i="5"/>
  <c r="BI200" i="5"/>
  <c r="AR200" i="5"/>
  <c r="AQ200" i="5"/>
  <c r="BI456" i="5"/>
  <c r="AQ456" i="5"/>
  <c r="AR456" i="5"/>
  <c r="AR45" i="5"/>
  <c r="BI45" i="5"/>
  <c r="AQ45" i="5"/>
  <c r="BI253" i="5"/>
  <c r="AR253" i="5"/>
  <c r="AQ253" i="5"/>
  <c r="AR445" i="5"/>
  <c r="BI226" i="5"/>
  <c r="AQ226" i="5"/>
  <c r="AR226" i="5"/>
  <c r="AQ342" i="5"/>
  <c r="AN10" i="5"/>
  <c r="AO10" i="5"/>
  <c r="BI241" i="5"/>
  <c r="AR241" i="5"/>
  <c r="AQ241" i="5"/>
  <c r="AR530" i="5"/>
  <c r="BI530" i="5"/>
  <c r="AQ530" i="5"/>
  <c r="BI339" i="5"/>
  <c r="AQ339" i="5"/>
  <c r="AR339" i="5"/>
  <c r="BI331" i="5"/>
  <c r="AQ331" i="5"/>
  <c r="AR331" i="5"/>
  <c r="BI539" i="5"/>
  <c r="AR539" i="5"/>
  <c r="AQ539" i="5"/>
  <c r="BI188" i="5"/>
  <c r="AQ188" i="5"/>
  <c r="AR188" i="5"/>
  <c r="AR316" i="5"/>
  <c r="AQ97" i="5"/>
  <c r="BI97" i="5"/>
  <c r="AR97" i="5"/>
  <c r="BI225" i="5"/>
  <c r="AR225" i="5"/>
  <c r="AQ225" i="5"/>
  <c r="BI20" i="5"/>
  <c r="AQ20" i="5"/>
  <c r="AR20" i="5"/>
  <c r="BI47" i="5"/>
  <c r="AQ47" i="5"/>
  <c r="AR47" i="5"/>
  <c r="BI175" i="5"/>
  <c r="AQ239" i="5"/>
  <c r="BI239" i="5"/>
  <c r="AR239" i="5"/>
  <c r="BI399" i="5"/>
  <c r="AQ399" i="5"/>
  <c r="AR399" i="5"/>
  <c r="BI240" i="5"/>
  <c r="AQ240" i="5"/>
  <c r="AR240" i="5"/>
  <c r="BI304" i="5"/>
  <c r="AQ304" i="5"/>
  <c r="AR304" i="5"/>
  <c r="BI368" i="5"/>
  <c r="AR368" i="5"/>
  <c r="AQ368" i="5"/>
  <c r="BI154" i="5"/>
  <c r="AR154" i="5"/>
  <c r="AQ154" i="5"/>
  <c r="BI282" i="5"/>
  <c r="AQ282" i="5"/>
  <c r="AR282" i="5"/>
  <c r="BI410" i="5"/>
  <c r="AQ410" i="5"/>
  <c r="AR410" i="5"/>
  <c r="BI51" i="5"/>
  <c r="AR51" i="5"/>
  <c r="AQ51" i="5"/>
  <c r="AQ196" i="5"/>
  <c r="AR324" i="5"/>
  <c r="BI324" i="5"/>
  <c r="AQ324" i="5"/>
  <c r="BI388" i="5"/>
  <c r="AR516" i="5"/>
  <c r="BI516" i="5"/>
  <c r="AQ516" i="5"/>
  <c r="BI233" i="5"/>
  <c r="AR233" i="5"/>
  <c r="AQ233" i="5"/>
  <c r="BI361" i="5"/>
  <c r="AR361" i="5"/>
  <c r="AQ361" i="5"/>
  <c r="BI28" i="5"/>
  <c r="AR28" i="5"/>
  <c r="AQ28" i="5"/>
  <c r="AQ542" i="5"/>
  <c r="AR542" i="5"/>
  <c r="BI167" i="5"/>
  <c r="AR167" i="5"/>
  <c r="AQ167" i="5"/>
  <c r="AQ26" i="5"/>
  <c r="BI26" i="5"/>
  <c r="AR26" i="5"/>
  <c r="AR152" i="5"/>
  <c r="BI152" i="5"/>
  <c r="AQ152" i="5"/>
  <c r="AQ461" i="5"/>
  <c r="BI461" i="5"/>
  <c r="AR461" i="5"/>
  <c r="BI525" i="5"/>
  <c r="BI114" i="5"/>
  <c r="AR114" i="5"/>
  <c r="AQ114" i="5"/>
  <c r="BI178" i="5"/>
  <c r="AQ178" i="5"/>
  <c r="AR178" i="5"/>
  <c r="BI242" i="5"/>
  <c r="AR242" i="5"/>
  <c r="AQ242" i="5"/>
  <c r="BI306" i="5"/>
  <c r="AR306" i="5"/>
  <c r="AQ306" i="5"/>
  <c r="BI294" i="5"/>
  <c r="AR294" i="5"/>
  <c r="AQ294" i="5"/>
  <c r="BI358" i="5"/>
  <c r="AQ358" i="5"/>
  <c r="AR358" i="5"/>
  <c r="AH10" i="5"/>
  <c r="AI10" i="5"/>
  <c r="AQ229" i="5"/>
  <c r="AQ546" i="5"/>
  <c r="BI546" i="5"/>
  <c r="AR546" i="5"/>
  <c r="BI7" i="5"/>
  <c r="AR7" i="5"/>
  <c r="AQ7" i="5"/>
  <c r="AQ283" i="5"/>
  <c r="BI283" i="5"/>
  <c r="AR283" i="5"/>
  <c r="BI363" i="5"/>
  <c r="AR363" i="5"/>
  <c r="AQ363" i="5"/>
  <c r="BI427" i="5"/>
  <c r="AR427" i="5"/>
  <c r="AQ427" i="5"/>
  <c r="AQ491" i="5"/>
  <c r="BI491" i="5"/>
  <c r="AR491" i="5"/>
  <c r="BI76" i="5"/>
  <c r="BI204" i="5"/>
  <c r="AQ204" i="5"/>
  <c r="AR204" i="5"/>
  <c r="BI36" i="5"/>
  <c r="AR36" i="5"/>
  <c r="AQ36" i="5"/>
  <c r="BI118" i="5"/>
  <c r="AR118" i="5"/>
  <c r="AQ118" i="5"/>
  <c r="AR63" i="5"/>
  <c r="BI63" i="5"/>
  <c r="AQ63" i="5"/>
  <c r="BI64" i="5"/>
  <c r="AQ64" i="5"/>
  <c r="AR64" i="5"/>
  <c r="AR256" i="5"/>
  <c r="BI384" i="5"/>
  <c r="BI35" i="5"/>
  <c r="BI165" i="5"/>
  <c r="AQ165" i="5"/>
  <c r="AR165" i="5"/>
  <c r="BI309" i="5"/>
  <c r="AR309" i="5"/>
  <c r="AQ309" i="5"/>
  <c r="BI373" i="5"/>
  <c r="AQ373" i="5"/>
  <c r="AR373" i="5"/>
  <c r="BI106" i="5"/>
  <c r="AQ106" i="5"/>
  <c r="AR106" i="5"/>
  <c r="AR170" i="5"/>
  <c r="BI170" i="5"/>
  <c r="AQ170" i="5"/>
  <c r="BI234" i="5"/>
  <c r="AQ234" i="5"/>
  <c r="AR234" i="5"/>
  <c r="AR67" i="5"/>
  <c r="BI67" i="5"/>
  <c r="AQ67" i="5"/>
  <c r="BI275" i="5"/>
  <c r="AQ22" i="5"/>
  <c r="BI22" i="5"/>
  <c r="AR22" i="5"/>
  <c r="AQ468" i="5"/>
  <c r="BI57" i="5"/>
  <c r="AR57" i="5"/>
  <c r="AQ57" i="5"/>
  <c r="BI110" i="5"/>
  <c r="AR110" i="5"/>
  <c r="AQ110" i="5"/>
  <c r="BI55" i="5"/>
  <c r="AQ55" i="5"/>
  <c r="AR55" i="5"/>
  <c r="AQ42" i="5"/>
  <c r="BI42" i="5"/>
  <c r="AR42"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BI477" i="5"/>
  <c r="AQ477" i="5"/>
  <c r="AR477" i="5"/>
  <c r="BI541" i="5"/>
  <c r="AR541" i="5"/>
  <c r="AQ541" i="5"/>
  <c r="BI66" i="5"/>
  <c r="AQ66" i="5"/>
  <c r="AR66" i="5"/>
  <c r="AR322" i="5"/>
  <c r="BI322" i="5"/>
  <c r="AQ322" i="5"/>
  <c r="AR25" i="5"/>
  <c r="AK10" i="5"/>
  <c r="AL10" i="5"/>
  <c r="AN9" i="5"/>
  <c r="AO9" i="5"/>
  <c r="AC19" i="5"/>
  <c r="AE19" i="5" s="1"/>
  <c r="BI107" i="5"/>
  <c r="AQ107" i="5"/>
  <c r="AR107" i="5"/>
  <c r="AQ30" i="5"/>
  <c r="BI30" i="5"/>
  <c r="AR30" i="5"/>
  <c r="BI156" i="5"/>
  <c r="AQ156" i="5"/>
  <c r="AR156" i="5"/>
  <c r="AQ220" i="5"/>
  <c r="BI220" i="5"/>
  <c r="AR220" i="5"/>
  <c r="BI284" i="5"/>
  <c r="AQ284" i="5"/>
  <c r="AR284" i="5"/>
  <c r="BI412" i="5"/>
  <c r="AQ412" i="5"/>
  <c r="AR412" i="5"/>
  <c r="BI193" i="5"/>
  <c r="AR193" i="5"/>
  <c r="AQ193" i="5"/>
  <c r="BI337" i="5"/>
  <c r="AQ337" i="5"/>
  <c r="AR337" i="5"/>
  <c r="BI134" i="5"/>
  <c r="AQ134" i="5"/>
  <c r="AR134" i="5"/>
  <c r="BI79" i="5"/>
  <c r="AR79" i="5"/>
  <c r="AQ79" i="5"/>
  <c r="BI207" i="5"/>
  <c r="AQ207" i="5"/>
  <c r="AR207" i="5"/>
  <c r="BI559" i="5"/>
  <c r="AR559" i="5"/>
  <c r="AQ559" i="5"/>
  <c r="AQ80" i="5"/>
  <c r="BI208" i="5"/>
  <c r="AQ208" i="5"/>
  <c r="AR208" i="5"/>
  <c r="BI272" i="5"/>
  <c r="AQ336" i="5"/>
  <c r="BI336" i="5"/>
  <c r="AR336" i="5"/>
  <c r="BI528" i="5"/>
  <c r="AR528" i="5"/>
  <c r="AQ528" i="5"/>
  <c r="AQ186" i="5"/>
  <c r="BI186" i="5"/>
  <c r="AR186" i="5"/>
  <c r="BI506" i="5"/>
  <c r="AR506" i="5"/>
  <c r="AQ506" i="5"/>
  <c r="BI387" i="5"/>
  <c r="AR387" i="5"/>
  <c r="AQ387" i="5"/>
  <c r="BI515" i="5"/>
  <c r="AR515" i="5"/>
  <c r="AQ515" i="5"/>
  <c r="BI100" i="5"/>
  <c r="AQ100" i="5"/>
  <c r="AR100" i="5"/>
  <c r="BI228" i="5"/>
  <c r="AQ228" i="5"/>
  <c r="AR228" i="5"/>
  <c r="BI292" i="5"/>
  <c r="AR292" i="5"/>
  <c r="AQ292" i="5"/>
  <c r="AQ356" i="5"/>
  <c r="BI356" i="5"/>
  <c r="AR356" i="5"/>
  <c r="AQ137" i="5"/>
  <c r="BI137" i="5"/>
  <c r="AR137" i="5"/>
  <c r="BI201" i="5"/>
  <c r="AQ201" i="5"/>
  <c r="AR201" i="5"/>
  <c r="BI265" i="5"/>
  <c r="AQ265" i="5"/>
  <c r="AR265" i="5"/>
  <c r="BI62" i="5"/>
  <c r="AR62" i="5"/>
  <c r="AQ62" i="5"/>
  <c r="AQ190" i="5"/>
  <c r="BI190" i="5"/>
  <c r="AR190" i="5"/>
  <c r="BI254" i="5"/>
  <c r="AQ254" i="5"/>
  <c r="AR254" i="5"/>
  <c r="AR71" i="5"/>
  <c r="BI71" i="5"/>
  <c r="AQ71" i="5"/>
  <c r="BI199" i="5"/>
  <c r="AR199" i="5"/>
  <c r="AQ199" i="5"/>
  <c r="BI535" i="5"/>
  <c r="AR535" i="5"/>
  <c r="AQ535" i="5"/>
  <c r="BI56" i="5"/>
  <c r="AQ56" i="5"/>
  <c r="AR56" i="5"/>
  <c r="BI120" i="5"/>
  <c r="AQ120" i="5"/>
  <c r="AR120" i="5"/>
  <c r="BI376" i="5"/>
  <c r="AR376" i="5"/>
  <c r="AQ376" i="5"/>
  <c r="AQ504" i="5"/>
  <c r="BI27" i="5"/>
  <c r="AQ27" i="5"/>
  <c r="AR27" i="5"/>
  <c r="AQ93" i="5"/>
  <c r="BI93" i="5"/>
  <c r="AR93" i="5"/>
  <c r="BI326" i="5"/>
  <c r="BI37" i="5"/>
  <c r="AR37" i="5"/>
  <c r="AQ37" i="5"/>
  <c r="BI83" i="5"/>
  <c r="AR83" i="5"/>
  <c r="AQ83" i="5"/>
  <c r="AH11" i="5"/>
  <c r="AI11" i="5"/>
  <c r="B227" i="2"/>
  <c r="B228" i="2" s="1"/>
  <c r="B229" i="2" s="1"/>
  <c r="B223" i="2"/>
  <c r="AC536" i="5"/>
  <c r="AD536" i="5" s="1"/>
  <c r="Y59" i="5"/>
  <c r="AA10"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B12" i="5"/>
  <c r="AA12" i="5"/>
  <c r="Y13" i="5"/>
  <c r="X13" i="5"/>
  <c r="BA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R196" i="5" l="1"/>
  <c r="AQ446" i="5"/>
  <c r="AR413" i="5"/>
  <c r="AR446" i="5"/>
  <c r="BI413" i="5"/>
  <c r="AR509" i="5"/>
  <c r="AR222" i="5"/>
  <c r="BI509" i="5"/>
  <c r="BJ509" i="5" s="1"/>
  <c r="AQ272" i="5"/>
  <c r="AQ222" i="5"/>
  <c r="BI394" i="5"/>
  <c r="AQ184" i="5"/>
  <c r="AQ362" i="5"/>
  <c r="AQ85" i="5"/>
  <c r="AQ174" i="5"/>
  <c r="AR191" i="5"/>
  <c r="AQ177" i="5"/>
  <c r="BI504" i="5"/>
  <c r="AR184" i="5"/>
  <c r="BI174" i="5"/>
  <c r="BJ174" i="5" s="1"/>
  <c r="AQ191" i="5"/>
  <c r="BI177" i="5"/>
  <c r="AR467" i="5"/>
  <c r="AR440" i="5"/>
  <c r="BI510" i="5"/>
  <c r="AR404" i="5"/>
  <c r="AR40" i="5"/>
  <c r="AR109" i="5"/>
  <c r="BI467" i="5"/>
  <c r="AQ440" i="5"/>
  <c r="AR510" i="5"/>
  <c r="AQ227" i="5"/>
  <c r="AQ404" i="5"/>
  <c r="BI40" i="5"/>
  <c r="BI109" i="5"/>
  <c r="AR227" i="5"/>
  <c r="AR449" i="5"/>
  <c r="AQ278" i="5"/>
  <c r="BI428" i="5"/>
  <c r="AQ41" i="5"/>
  <c r="AQ212" i="5"/>
  <c r="AR479" i="5"/>
  <c r="BI449" i="5"/>
  <c r="AR278" i="5"/>
  <c r="AR41" i="5"/>
  <c r="AR212" i="5"/>
  <c r="AR448" i="5"/>
  <c r="BI479" i="5"/>
  <c r="BK479" i="5" s="1"/>
  <c r="AR85" i="5"/>
  <c r="BI317" i="5"/>
  <c r="AR362" i="5"/>
  <c r="BI448" i="5"/>
  <c r="BJ448" i="5" s="1"/>
  <c r="AQ203" i="5"/>
  <c r="AR151" i="5"/>
  <c r="BI383" i="5"/>
  <c r="AR468" i="5"/>
  <c r="BI355" i="5"/>
  <c r="BI258" i="5"/>
  <c r="AR35" i="5"/>
  <c r="AQ256" i="5"/>
  <c r="AR385" i="5"/>
  <c r="AQ76" i="5"/>
  <c r="BI219" i="5"/>
  <c r="AQ538" i="5"/>
  <c r="AR175" i="5"/>
  <c r="BI31" i="5"/>
  <c r="AR342" i="5"/>
  <c r="AQ317" i="5"/>
  <c r="AQ326" i="5"/>
  <c r="AR164" i="5"/>
  <c r="BI495" i="5"/>
  <c r="AQ476" i="5"/>
  <c r="AR388" i="5"/>
  <c r="AR90" i="5"/>
  <c r="BI476" i="5"/>
  <c r="BI379" i="5"/>
  <c r="BJ379" i="5" s="1"/>
  <c r="AR275" i="5"/>
  <c r="AQ90" i="5"/>
  <c r="AQ395" i="5"/>
  <c r="AR139" i="5"/>
  <c r="AR395" i="5"/>
  <c r="AR466" i="5"/>
  <c r="AR53" i="5"/>
  <c r="AR80" i="5"/>
  <c r="AR84" i="5"/>
  <c r="AQ320" i="5"/>
  <c r="BI445" i="5"/>
  <c r="AR355" i="5"/>
  <c r="AQ466" i="5"/>
  <c r="AQ53" i="5"/>
  <c r="AQ84" i="5"/>
  <c r="AR320" i="5"/>
  <c r="AR219" i="5"/>
  <c r="AR538" i="5"/>
  <c r="AR31" i="5"/>
  <c r="BI329" i="5"/>
  <c r="BJ329" i="5" s="1"/>
  <c r="BI485" i="5"/>
  <c r="BI425" i="5"/>
  <c r="AQ350" i="5"/>
  <c r="AR526" i="5"/>
  <c r="AQ492" i="5"/>
  <c r="BI130" i="5"/>
  <c r="BI350" i="5"/>
  <c r="AQ139" i="5"/>
  <c r="BI323" i="5"/>
  <c r="AQ524" i="5"/>
  <c r="AR480" i="5"/>
  <c r="AR258" i="5"/>
  <c r="BI524" i="5"/>
  <c r="AR485" i="5"/>
  <c r="AQ526" i="5"/>
  <c r="AQ480" i="5"/>
  <c r="AR428" i="5"/>
  <c r="BI238" i="5"/>
  <c r="AR402" i="5"/>
  <c r="AQ402" i="5"/>
  <c r="BI48" i="5"/>
  <c r="BI266" i="5"/>
  <c r="AR148" i="5"/>
  <c r="AQ48" i="5"/>
  <c r="BI58" i="5"/>
  <c r="BJ58" i="5" s="1"/>
  <c r="AR238" i="5"/>
  <c r="AR525" i="5"/>
  <c r="AR493" i="5"/>
  <c r="AQ493" i="5"/>
  <c r="AQ344" i="5"/>
  <c r="AQ505" i="5"/>
  <c r="AR505" i="5"/>
  <c r="AQ300" i="5"/>
  <c r="V11" i="5"/>
  <c r="AR299" i="5"/>
  <c r="AQ260" i="5"/>
  <c r="BI451" i="5"/>
  <c r="AQ299" i="5"/>
  <c r="AQ430" i="5"/>
  <c r="AR260" i="5"/>
  <c r="BI248" i="5"/>
  <c r="AR58" i="5"/>
  <c r="AR430" i="5"/>
  <c r="AR437" i="5"/>
  <c r="AQ411" i="5"/>
  <c r="AR60" i="5"/>
  <c r="AR318" i="5"/>
  <c r="AQ318" i="5"/>
  <c r="AQ60" i="5"/>
  <c r="BI392" i="5"/>
  <c r="AQ75" i="5"/>
  <c r="AQ315" i="5"/>
  <c r="AR503" i="5"/>
  <c r="AR195" i="5"/>
  <c r="BI75" i="5"/>
  <c r="BJ75" i="5" s="1"/>
  <c r="AR334" i="5"/>
  <c r="BI315" i="5"/>
  <c r="BK315" i="5" s="1"/>
  <c r="BI503" i="5"/>
  <c r="BK503" i="5" s="1"/>
  <c r="AQ195" i="5"/>
  <c r="AQ334" i="5"/>
  <c r="AQ518" i="5"/>
  <c r="AR113" i="5"/>
  <c r="AR408" i="5"/>
  <c r="R11" i="5"/>
  <c r="AR518" i="5"/>
  <c r="AQ181" i="5"/>
  <c r="BI113" i="5"/>
  <c r="AQ408" i="5"/>
  <c r="AQ439" i="5"/>
  <c r="AQ270" i="5"/>
  <c r="AR181" i="5"/>
  <c r="AR439" i="5"/>
  <c r="AR297" i="5"/>
  <c r="BI380" i="5"/>
  <c r="AR270" i="5"/>
  <c r="AR459" i="5"/>
  <c r="AR158" i="5"/>
  <c r="AQ433" i="5"/>
  <c r="AQ459" i="5"/>
  <c r="AQ158" i="5"/>
  <c r="BI262" i="5"/>
  <c r="BJ262" i="5" s="1"/>
  <c r="AY11" i="5"/>
  <c r="AR386" i="5"/>
  <c r="AR129" i="5"/>
  <c r="AR235" i="5"/>
  <c r="AR400" i="5"/>
  <c r="AQ129" i="5"/>
  <c r="AQ400" i="5"/>
  <c r="AQ29" i="5"/>
  <c r="AR471" i="5"/>
  <c r="AR29" i="5"/>
  <c r="AQ303" i="5"/>
  <c r="BI471" i="5"/>
  <c r="BK471" i="5" s="1"/>
  <c r="AR105" i="5"/>
  <c r="AR495" i="5"/>
  <c r="AQ25" i="5"/>
  <c r="BI498" i="5"/>
  <c r="BK498" i="5" s="1"/>
  <c r="BM498" i="5" s="1"/>
  <c r="BI235" i="5"/>
  <c r="AR340" i="5"/>
  <c r="BI386" i="5"/>
  <c r="BJ386" i="5" s="1"/>
  <c r="BI340" i="5"/>
  <c r="AQ124" i="5"/>
  <c r="AR557" i="5"/>
  <c r="BI124" i="5"/>
  <c r="BK124" i="5" s="1"/>
  <c r="AR267" i="5"/>
  <c r="AQ557" i="5"/>
  <c r="AQ155" i="5"/>
  <c r="BI267" i="5"/>
  <c r="BJ267" i="5" s="1"/>
  <c r="BI155" i="5"/>
  <c r="BJ155" i="5" s="1"/>
  <c r="BI250" i="5"/>
  <c r="AQ379" i="5"/>
  <c r="AR403" i="5"/>
  <c r="BI481" i="5"/>
  <c r="AQ385" i="5"/>
  <c r="AQ403" i="5"/>
  <c r="AR246" i="5"/>
  <c r="BI308" i="5"/>
  <c r="BK308" i="5" s="1"/>
  <c r="BI246" i="5"/>
  <c r="BJ246" i="5" s="1"/>
  <c r="AQ91" i="5"/>
  <c r="BI91" i="5"/>
  <c r="BK91" i="5" s="1"/>
  <c r="AR279" i="5"/>
  <c r="BI279" i="5"/>
  <c r="AQ513" i="5"/>
  <c r="BI513" i="5"/>
  <c r="BJ513" i="5" s="1"/>
  <c r="AR333" i="5"/>
  <c r="BI247" i="5"/>
  <c r="BJ247" i="5" s="1"/>
  <c r="AR203" i="5"/>
  <c r="AQ316" i="5"/>
  <c r="BI437" i="5"/>
  <c r="BJ437" i="5" s="1"/>
  <c r="AR202" i="5"/>
  <c r="BI202" i="5"/>
  <c r="BJ202" i="5" s="1"/>
  <c r="AR441" i="5"/>
  <c r="AQ328" i="5"/>
  <c r="AQ441" i="5"/>
  <c r="AR248" i="5"/>
  <c r="AR394" i="5"/>
  <c r="BI131" i="5"/>
  <c r="BJ131" i="5" s="1"/>
  <c r="BI420" i="5"/>
  <c r="AR43" i="5"/>
  <c r="AR420" i="5"/>
  <c r="AR301" i="5"/>
  <c r="BI301" i="5"/>
  <c r="BJ301" i="5" s="1"/>
  <c r="AQ65" i="5"/>
  <c r="AQ374" i="5"/>
  <c r="AR434" i="5"/>
  <c r="AR312" i="5"/>
  <c r="AQ434" i="5"/>
  <c r="AR416" i="5"/>
  <c r="AR230" i="5"/>
  <c r="AQ416" i="5"/>
  <c r="AR103" i="5"/>
  <c r="AR281" i="5"/>
  <c r="BI54" i="5"/>
  <c r="BJ54" i="5" s="1"/>
  <c r="AQ148" i="5"/>
  <c r="AR384" i="5"/>
  <c r="BI463" i="5"/>
  <c r="BJ463" i="5" s="1"/>
  <c r="AQ266" i="5"/>
  <c r="AR321" i="5"/>
  <c r="AR229" i="5"/>
  <c r="AQ425" i="5"/>
  <c r="AR492" i="5"/>
  <c r="AQ185" i="5"/>
  <c r="BI321" i="5"/>
  <c r="BJ321" i="5" s="1"/>
  <c r="AR409" i="5"/>
  <c r="AR185" i="5"/>
  <c r="AQ375" i="5"/>
  <c r="AR112" i="5"/>
  <c r="BI409" i="5"/>
  <c r="BJ409" i="5" s="1"/>
  <c r="BI375" i="5"/>
  <c r="BJ375" i="5" s="1"/>
  <c r="AQ112" i="5"/>
  <c r="AQ454" i="5"/>
  <c r="AQ367" i="5"/>
  <c r="AR454" i="5"/>
  <c r="AQ82" i="5"/>
  <c r="AQ221" i="5"/>
  <c r="AR367" i="5"/>
  <c r="AR82" i="5"/>
  <c r="AR221" i="5"/>
  <c r="AR99" i="5"/>
  <c r="AQ555" i="5"/>
  <c r="AR335" i="5"/>
  <c r="AQ99" i="5"/>
  <c r="AQ532" i="5"/>
  <c r="AR555" i="5"/>
  <c r="AQ335" i="5"/>
  <c r="BI532" i="5"/>
  <c r="BJ532" i="5" s="1"/>
  <c r="AQ333" i="5"/>
  <c r="AR463" i="5"/>
  <c r="BI328" i="5"/>
  <c r="BJ328" i="5" s="1"/>
  <c r="BI121" i="5"/>
  <c r="BK121" i="5" s="1"/>
  <c r="AR149" i="5"/>
  <c r="AR558" i="5"/>
  <c r="AR378" i="5"/>
  <c r="AR396" i="5"/>
  <c r="AR8" i="5"/>
  <c r="AQ54" i="5"/>
  <c r="AQ59" i="5"/>
  <c r="AR59" i="5"/>
  <c r="BI281" i="5"/>
  <c r="BJ281" i="5" s="1"/>
  <c r="AR370" i="5"/>
  <c r="BI370" i="5"/>
  <c r="BJ370" i="5" s="1"/>
  <c r="AR344" i="5"/>
  <c r="AR121" i="5"/>
  <c r="BI149" i="5"/>
  <c r="BK149" i="5" s="1"/>
  <c r="AQ8" i="5"/>
  <c r="AR307" i="5"/>
  <c r="BI378" i="5"/>
  <c r="BK378" i="5" s="1"/>
  <c r="BI558" i="5"/>
  <c r="BJ558" i="5" s="1"/>
  <c r="AR444" i="5"/>
  <c r="AC11" i="5"/>
  <c r="AE11" i="5" s="1"/>
  <c r="AQ101" i="5"/>
  <c r="Y11" i="5"/>
  <c r="AQ351" i="5"/>
  <c r="AQ514" i="5"/>
  <c r="AR351" i="5"/>
  <c r="BI514" i="5"/>
  <c r="BJ514" i="5" s="1"/>
  <c r="AQ349" i="5"/>
  <c r="AR140" i="5"/>
  <c r="AR313" i="5"/>
  <c r="AQ313" i="5"/>
  <c r="AQ144" i="5"/>
  <c r="BI144" i="5"/>
  <c r="BK144" i="5" s="1"/>
  <c r="BM144" i="5" s="1"/>
  <c r="AR92" i="5"/>
  <c r="AR289" i="5"/>
  <c r="BI543" i="5"/>
  <c r="BK543" i="5" s="1"/>
  <c r="AQ293" i="5"/>
  <c r="AQ307" i="5"/>
  <c r="AQ289" i="5"/>
  <c r="AR429" i="5"/>
  <c r="AQ164" i="5"/>
  <c r="AR68" i="5"/>
  <c r="AR354" i="5"/>
  <c r="BI429" i="5"/>
  <c r="BK429" i="5" s="1"/>
  <c r="AQ354" i="5"/>
  <c r="AQ381" i="5"/>
  <c r="AR237" i="5"/>
  <c r="BI381" i="5"/>
  <c r="BJ381" i="5" s="1"/>
  <c r="AR346" i="5"/>
  <c r="BI237" i="5"/>
  <c r="BJ237" i="5" s="1"/>
  <c r="AR290" i="5"/>
  <c r="AQ126" i="5"/>
  <c r="AQ268" i="5"/>
  <c r="BI421" i="5"/>
  <c r="BJ421" i="5" s="1"/>
  <c r="AQ496" i="5"/>
  <c r="AR126" i="5"/>
  <c r="AQ421" i="5"/>
  <c r="AR496" i="5"/>
  <c r="AR192" i="5"/>
  <c r="AQ192" i="5"/>
  <c r="AR61" i="5"/>
  <c r="AQ213" i="5"/>
  <c r="AR213" i="5"/>
  <c r="AQ548" i="5"/>
  <c r="AR252" i="5"/>
  <c r="AQ329" i="5"/>
  <c r="BI548" i="5"/>
  <c r="BJ548" i="5" s="1"/>
  <c r="BL548" i="5" s="1"/>
  <c r="BI23" i="5"/>
  <c r="BJ23" i="5" s="1"/>
  <c r="AQ312" i="5"/>
  <c r="AR65" i="5"/>
  <c r="AR374" i="5"/>
  <c r="AQ131" i="5"/>
  <c r="AQ230" i="5"/>
  <c r="AQ475" i="5"/>
  <c r="AQ103" i="5"/>
  <c r="AQ143" i="5"/>
  <c r="AR273" i="5"/>
  <c r="AQ547" i="5"/>
  <c r="AR143" i="5"/>
  <c r="AQ273" i="5"/>
  <c r="AR547" i="5"/>
  <c r="AQ552" i="5"/>
  <c r="AR157" i="5"/>
  <c r="AR552" i="5"/>
  <c r="AR111" i="5"/>
  <c r="AR520" i="5"/>
  <c r="AQ157" i="5"/>
  <c r="AQ319" i="5"/>
  <c r="AQ414" i="5"/>
  <c r="AQ111" i="5"/>
  <c r="AQ520" i="5"/>
  <c r="AR116" i="5"/>
  <c r="BI319" i="5"/>
  <c r="BJ319" i="5" s="1"/>
  <c r="AR414" i="5"/>
  <c r="AQ39" i="5"/>
  <c r="AQ116" i="5"/>
  <c r="AR365" i="5"/>
  <c r="AR39" i="5"/>
  <c r="AQ365" i="5"/>
  <c r="AR475" i="5"/>
  <c r="AR250" i="5"/>
  <c r="AR128" i="5"/>
  <c r="BI105" i="5"/>
  <c r="BJ105" i="5" s="1"/>
  <c r="BL105" i="5" s="1"/>
  <c r="AR436" i="5"/>
  <c r="AQ128" i="5"/>
  <c r="AQ436" i="5"/>
  <c r="AR46" i="5"/>
  <c r="AQ286" i="5"/>
  <c r="AQ46" i="5"/>
  <c r="AR286" i="5"/>
  <c r="AR372" i="5"/>
  <c r="AQ502" i="5"/>
  <c r="AR498" i="5"/>
  <c r="AQ372" i="5"/>
  <c r="AR502" i="5"/>
  <c r="AQ478" i="5"/>
  <c r="AR303" i="5"/>
  <c r="AR247" i="5"/>
  <c r="AQ543" i="5"/>
  <c r="AR478" i="5"/>
  <c r="AQ308" i="5"/>
  <c r="AR397" i="5"/>
  <c r="AR23" i="5"/>
  <c r="AQ481" i="5"/>
  <c r="AR455" i="5"/>
  <c r="BI327" i="5"/>
  <c r="BJ327" i="5" s="1"/>
  <c r="AQ501" i="5"/>
  <c r="BI501" i="5"/>
  <c r="BJ501" i="5" s="1"/>
  <c r="AR263" i="5"/>
  <c r="BI24" i="5"/>
  <c r="BJ24" i="5" s="1"/>
  <c r="AR276" i="5"/>
  <c r="BI73" i="5"/>
  <c r="BK73" i="5" s="1"/>
  <c r="AR218" i="5"/>
  <c r="BI50" i="5"/>
  <c r="BJ50" i="5" s="1"/>
  <c r="AR50" i="5"/>
  <c r="AQ474" i="5"/>
  <c r="AQ259" i="5"/>
  <c r="BI302" i="5"/>
  <c r="BJ302" i="5" s="1"/>
  <c r="AQ252" i="5"/>
  <c r="AQ290" i="5"/>
  <c r="AR442" i="5"/>
  <c r="AQ442" i="5"/>
  <c r="BI296" i="5"/>
  <c r="BJ296" i="5" s="1"/>
  <c r="BI377" i="5"/>
  <c r="BK377" i="5" s="1"/>
  <c r="AR231" i="5"/>
  <c r="AQ533" i="5"/>
  <c r="AQ276" i="5"/>
  <c r="AQ61" i="5"/>
  <c r="AQ68" i="5"/>
  <c r="AQ346" i="5"/>
  <c r="AR389" i="5"/>
  <c r="AR435" i="5"/>
  <c r="AR268" i="5"/>
  <c r="AQ549" i="5"/>
  <c r="BI537" i="5"/>
  <c r="BJ537" i="5" s="1"/>
  <c r="AQ435" i="5"/>
  <c r="AR497" i="5"/>
  <c r="AR33" i="5"/>
  <c r="BI33" i="5"/>
  <c r="BJ33" i="5" s="1"/>
  <c r="BL33" i="5" s="1"/>
  <c r="BI519" i="5"/>
  <c r="BK519" i="5" s="1"/>
  <c r="AR347" i="5"/>
  <c r="BI263" i="5"/>
  <c r="BJ263" i="5" s="1"/>
  <c r="BI389" i="5"/>
  <c r="BK389" i="5" s="1"/>
  <c r="AQ455" i="5"/>
  <c r="AR474" i="5"/>
  <c r="AQ218" i="5"/>
  <c r="AR527" i="5"/>
  <c r="AQ347" i="5"/>
  <c r="AQ338" i="5"/>
  <c r="AR261" i="5"/>
  <c r="AQ536" i="5"/>
  <c r="AR280" i="5"/>
  <c r="AR169" i="5"/>
  <c r="AQ527" i="5"/>
  <c r="AR214" i="5"/>
  <c r="AR338" i="5"/>
  <c r="AQ529" i="5"/>
  <c r="AR104" i="5"/>
  <c r="AQ391" i="5"/>
  <c r="AR536" i="5"/>
  <c r="AQ280" i="5"/>
  <c r="BI169" i="5"/>
  <c r="BJ169" i="5" s="1"/>
  <c r="BL169" i="5" s="1"/>
  <c r="BI214" i="5"/>
  <c r="BJ214" i="5" s="1"/>
  <c r="BL214" i="5" s="1"/>
  <c r="BI529" i="5"/>
  <c r="BJ529" i="5" s="1"/>
  <c r="AQ104" i="5"/>
  <c r="AR391" i="5"/>
  <c r="AQ560" i="5"/>
  <c r="AQ166" i="5"/>
  <c r="AR274" i="5"/>
  <c r="AR499" i="5"/>
  <c r="AR472" i="5"/>
  <c r="AR560" i="5"/>
  <c r="BI166" i="5"/>
  <c r="BJ166" i="5" s="1"/>
  <c r="AQ274" i="5"/>
  <c r="AQ311" i="5"/>
  <c r="AR517" i="5"/>
  <c r="AQ472" i="5"/>
  <c r="AR206" i="5"/>
  <c r="AQ244" i="5"/>
  <c r="AR531" i="5"/>
  <c r="AQ450" i="5"/>
  <c r="BI311" i="5"/>
  <c r="BK311" i="5" s="1"/>
  <c r="BM311" i="5" s="1"/>
  <c r="AQ517" i="5"/>
  <c r="AQ460" i="5"/>
  <c r="BI206" i="5"/>
  <c r="BJ206" i="5" s="1"/>
  <c r="AR244" i="5"/>
  <c r="AQ531" i="5"/>
  <c r="AQ69" i="5"/>
  <c r="AQ407" i="5"/>
  <c r="AR453" i="5"/>
  <c r="AQ21" i="5"/>
  <c r="AR450" i="5"/>
  <c r="AR460" i="5"/>
  <c r="AR88" i="5"/>
  <c r="AQ72" i="5"/>
  <c r="AR69" i="5"/>
  <c r="AQ545" i="5"/>
  <c r="AR407" i="5"/>
  <c r="AR73" i="5"/>
  <c r="BI453" i="5"/>
  <c r="BJ453" i="5" s="1"/>
  <c r="AR21" i="5"/>
  <c r="AR296" i="5"/>
  <c r="AQ519" i="5"/>
  <c r="AQ302" i="5"/>
  <c r="AQ88" i="5"/>
  <c r="AR259" i="5"/>
  <c r="AQ24" i="5"/>
  <c r="AR72" i="5"/>
  <c r="BI545" i="5"/>
  <c r="BK545" i="5" s="1"/>
  <c r="AR125" i="5"/>
  <c r="AQ125" i="5"/>
  <c r="AR182" i="5"/>
  <c r="AR173" i="5"/>
  <c r="BI182" i="5"/>
  <c r="BK182" i="5" s="1"/>
  <c r="AQ173" i="5"/>
  <c r="AQ314" i="5"/>
  <c r="AQ431" i="5"/>
  <c r="BI431" i="5"/>
  <c r="BK431" i="5" s="1"/>
  <c r="BI146" i="5"/>
  <c r="BJ146" i="5" s="1"/>
  <c r="BL146" i="5" s="1"/>
  <c r="AQ382" i="5"/>
  <c r="AQ451" i="5"/>
  <c r="AQ554" i="5"/>
  <c r="BI415" i="5"/>
  <c r="BK415" i="5" s="1"/>
  <c r="AQ277" i="5"/>
  <c r="BI187" i="5"/>
  <c r="BK187" i="5" s="1"/>
  <c r="AR300" i="5"/>
  <c r="AR314" i="5"/>
  <c r="AR533" i="5"/>
  <c r="AR117" i="5"/>
  <c r="AQ494" i="5"/>
  <c r="AR332" i="5"/>
  <c r="BI231" i="5"/>
  <c r="BJ231" i="5" s="1"/>
  <c r="AR305" i="5"/>
  <c r="AR411" i="5"/>
  <c r="BI117" i="5"/>
  <c r="BJ117" i="5" s="1"/>
  <c r="AR494" i="5"/>
  <c r="AR147" i="5"/>
  <c r="AQ298" i="5"/>
  <c r="AQ512" i="5"/>
  <c r="AQ332" i="5"/>
  <c r="AQ357" i="5"/>
  <c r="BI305" i="5"/>
  <c r="BJ305" i="5" s="1"/>
  <c r="AQ393" i="5"/>
  <c r="AQ147" i="5"/>
  <c r="AR298" i="5"/>
  <c r="AR512" i="5"/>
  <c r="AQ49" i="5"/>
  <c r="AR357" i="5"/>
  <c r="Y7" i="5"/>
  <c r="BI393" i="5"/>
  <c r="BJ393" i="5" s="1"/>
  <c r="AR49" i="5"/>
  <c r="AR553" i="5"/>
  <c r="AR507" i="5"/>
  <c r="AQ171" i="5"/>
  <c r="AQ249" i="5"/>
  <c r="AR189" i="5"/>
  <c r="AQ216" i="5"/>
  <c r="AR293" i="5"/>
  <c r="AQ482" i="5"/>
  <c r="AQ32" i="5"/>
  <c r="AQ544" i="5"/>
  <c r="AR251" i="5"/>
  <c r="AQ163" i="5"/>
  <c r="BI507" i="5"/>
  <c r="BK507" i="5" s="1"/>
  <c r="AR171" i="5"/>
  <c r="BI249" i="5"/>
  <c r="BJ249" i="5" s="1"/>
  <c r="BL249" i="5" s="1"/>
  <c r="AQ189" i="5"/>
  <c r="AR482" i="5"/>
  <c r="AR32" i="5"/>
  <c r="AR544" i="5"/>
  <c r="BI251" i="5"/>
  <c r="BK251" i="5" s="1"/>
  <c r="BM251" i="5" s="1"/>
  <c r="AR163" i="5"/>
  <c r="AQ132" i="5"/>
  <c r="AE24" i="4"/>
  <c r="AR146" i="5"/>
  <c r="AR382" i="5"/>
  <c r="AR554" i="5"/>
  <c r="AR101" i="5"/>
  <c r="AR415" i="5"/>
  <c r="BI257" i="5"/>
  <c r="BJ257" i="5" s="1"/>
  <c r="BI132" i="5"/>
  <c r="BK132" i="5" s="1"/>
  <c r="AR187" i="5"/>
  <c r="AR277" i="5"/>
  <c r="AQ497" i="5"/>
  <c r="AQ484" i="5"/>
  <c r="BI401" i="5"/>
  <c r="BJ401" i="5" s="1"/>
  <c r="AQ168" i="5"/>
  <c r="AR390" i="5"/>
  <c r="AQ537" i="5"/>
  <c r="AQ92" i="5"/>
  <c r="AQ43" i="5"/>
  <c r="BI194" i="5"/>
  <c r="BJ194" i="5" s="1"/>
  <c r="BI119" i="5"/>
  <c r="BJ119" i="5" s="1"/>
  <c r="AQ377" i="5"/>
  <c r="AQ194" i="5"/>
  <c r="AQ366" i="5"/>
  <c r="BI423" i="5"/>
  <c r="BK423" i="5" s="1"/>
  <c r="AR142" i="5"/>
  <c r="AR262" i="5"/>
  <c r="AQ210" i="5"/>
  <c r="AQ135" i="5"/>
  <c r="AQ291" i="5"/>
  <c r="AR325" i="5"/>
  <c r="BI198" i="5"/>
  <c r="BJ198" i="5" s="1"/>
  <c r="BI70" i="5"/>
  <c r="BJ70" i="5" s="1"/>
  <c r="AR401" i="5"/>
  <c r="AQ348" i="5"/>
  <c r="AR443" i="5"/>
  <c r="AQ130" i="5"/>
  <c r="AQ257" i="5"/>
  <c r="BI486" i="5"/>
  <c r="BJ486" i="5" s="1"/>
  <c r="BI216" i="5"/>
  <c r="BK216" i="5" s="1"/>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K151" i="5" s="1"/>
  <c r="AR462" i="5"/>
  <c r="BI553" i="5"/>
  <c r="BJ553" i="5" s="1"/>
  <c r="BL553" i="5" s="1"/>
  <c r="AR549" i="5"/>
  <c r="AQ457" i="5"/>
  <c r="BI122" i="5"/>
  <c r="BJ122" i="5" s="1"/>
  <c r="BI464" i="5"/>
  <c r="BK464" i="5" s="1"/>
  <c r="AR198" i="5"/>
  <c r="AR348" i="5"/>
  <c r="AQ443" i="5"/>
  <c r="BI161" i="5"/>
  <c r="BK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BJ483" i="5" s="1"/>
  <c r="AQ162" i="5"/>
  <c r="AQ264" i="5"/>
  <c r="AQ423" i="5"/>
  <c r="AQ95" i="5"/>
  <c r="BI44" i="5"/>
  <c r="BJ44" i="5" s="1"/>
  <c r="BI465" i="5"/>
  <c r="BK465" i="5" s="1"/>
  <c r="AQ161" i="5"/>
  <c r="AR162" i="5"/>
  <c r="BI264" i="5"/>
  <c r="BK264" i="5" s="1"/>
  <c r="AR138" i="5"/>
  <c r="AR271" i="5"/>
  <c r="AR310" i="5"/>
  <c r="BI245" i="5"/>
  <c r="BK245" i="5" s="1"/>
  <c r="AR19" i="5"/>
  <c r="BI432" i="5"/>
  <c r="BJ432" i="5" s="1"/>
  <c r="BI418" i="5"/>
  <c r="BJ418" i="5" s="1"/>
  <c r="BL418" i="5" s="1"/>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K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F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AC91" i="4"/>
  <c r="AD91"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D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221" i="5"/>
  <c r="BK221" i="5"/>
  <c r="BJ504" i="5"/>
  <c r="BL504" i="5" s="1"/>
  <c r="BK504" i="5"/>
  <c r="BJ248" i="5"/>
  <c r="BK248" i="5"/>
  <c r="BK535" i="5"/>
  <c r="BJ535" i="5"/>
  <c r="BJ71" i="5"/>
  <c r="BK71" i="5"/>
  <c r="BM71" i="5" s="1"/>
  <c r="BK382" i="5"/>
  <c r="BJ382" i="5"/>
  <c r="BJ318" i="5"/>
  <c r="BK318" i="5"/>
  <c r="BJ62" i="5"/>
  <c r="BL62" i="5" s="1"/>
  <c r="BK62" i="5"/>
  <c r="BJ137" i="5"/>
  <c r="BK137" i="5"/>
  <c r="BM137" i="5" s="1"/>
  <c r="BK100" i="5"/>
  <c r="BJ100" i="5"/>
  <c r="BK387" i="5"/>
  <c r="BJ387" i="5"/>
  <c r="BJ99" i="5"/>
  <c r="BK99" i="5"/>
  <c r="BK186" i="5"/>
  <c r="BJ186" i="5"/>
  <c r="BJ400" i="5"/>
  <c r="BK400" i="5"/>
  <c r="BK495" i="5"/>
  <c r="BM495" i="5" s="1"/>
  <c r="BJ495" i="5"/>
  <c r="BJ143" i="5"/>
  <c r="BK143" i="5"/>
  <c r="BJ134" i="5"/>
  <c r="BK134" i="5"/>
  <c r="BM134" i="5" s="1"/>
  <c r="BJ129" i="5"/>
  <c r="BK129" i="5"/>
  <c r="BJ412" i="5"/>
  <c r="BL412" i="5" s="1"/>
  <c r="BK412" i="5"/>
  <c r="BK220" i="5"/>
  <c r="BJ220" i="5"/>
  <c r="BK156" i="5"/>
  <c r="BJ156" i="5"/>
  <c r="BK443" i="5"/>
  <c r="BJ443" i="5"/>
  <c r="BJ171" i="5"/>
  <c r="BK171" i="5"/>
  <c r="BM171" i="5" s="1"/>
  <c r="BJ438" i="5"/>
  <c r="BK438" i="5"/>
  <c r="BJ450" i="5"/>
  <c r="BK450" i="5"/>
  <c r="BM450" i="5" s="1"/>
  <c r="BJ477" i="5"/>
  <c r="BK477" i="5"/>
  <c r="BJ205" i="5"/>
  <c r="BK205" i="5"/>
  <c r="BJ488" i="5"/>
  <c r="BK488" i="5"/>
  <c r="BJ232" i="5"/>
  <c r="BK232" i="5"/>
  <c r="BK42" i="5"/>
  <c r="BJ42" i="5"/>
  <c r="BK247" i="5"/>
  <c r="BJ46" i="5"/>
  <c r="BL46" i="5" s="1"/>
  <c r="BK46" i="5"/>
  <c r="BJ313" i="5"/>
  <c r="BK313" i="5"/>
  <c r="BK57" i="5"/>
  <c r="BJ57" i="5"/>
  <c r="BK84" i="5"/>
  <c r="BJ84" i="5"/>
  <c r="BJ371" i="5"/>
  <c r="BK371" i="5"/>
  <c r="BK362" i="5"/>
  <c r="BJ362" i="5"/>
  <c r="BK170" i="5"/>
  <c r="BJ170" i="5"/>
  <c r="BJ106" i="5"/>
  <c r="BK106" i="5"/>
  <c r="BJ373" i="5"/>
  <c r="BK373" i="5"/>
  <c r="BM373" i="5" s="1"/>
  <c r="BK128" i="5"/>
  <c r="BJ128" i="5"/>
  <c r="BL128" i="5" s="1"/>
  <c r="BJ127" i="5"/>
  <c r="BK127"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162" i="5"/>
  <c r="BK162" i="5"/>
  <c r="BJ173" i="5"/>
  <c r="BK173" i="5"/>
  <c r="BJ456" i="5"/>
  <c r="BK456" i="5"/>
  <c r="BK200" i="5"/>
  <c r="BJ200" i="5"/>
  <c r="BJ279" i="5"/>
  <c r="BK279" i="5"/>
  <c r="BM279" i="5" s="1"/>
  <c r="BJ215" i="5"/>
  <c r="BK215" i="5"/>
  <c r="BM215" i="5" s="1"/>
  <c r="BJ270" i="5"/>
  <c r="BK270" i="5"/>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18" i="5"/>
  <c r="BK518" i="5"/>
  <c r="BJ274" i="5"/>
  <c r="BK274" i="5"/>
  <c r="BJ557" i="5"/>
  <c r="BK557" i="5"/>
  <c r="BJ93" i="5"/>
  <c r="BK93" i="5"/>
  <c r="BK27" i="5"/>
  <c r="BJ27" i="5"/>
  <c r="BJ312" i="5"/>
  <c r="BK312" i="5"/>
  <c r="BJ56" i="5"/>
  <c r="BK56" i="5"/>
  <c r="BJ135" i="5"/>
  <c r="BK135" i="5"/>
  <c r="BK190" i="5"/>
  <c r="BJ190" i="5"/>
  <c r="BJ126" i="5"/>
  <c r="BK126" i="5"/>
  <c r="BJ420" i="5"/>
  <c r="BK420" i="5"/>
  <c r="BK164" i="5"/>
  <c r="BJ164" i="5"/>
  <c r="BK451" i="5"/>
  <c r="BJ451" i="5"/>
  <c r="BL451" i="5" s="1"/>
  <c r="BJ163" i="5"/>
  <c r="BK163" i="5"/>
  <c r="BJ442" i="5"/>
  <c r="BK442" i="5"/>
  <c r="BM442" i="5" s="1"/>
  <c r="BK181" i="5"/>
  <c r="BJ181" i="5"/>
  <c r="BK208" i="5"/>
  <c r="BJ208" i="5"/>
  <c r="BJ207" i="5"/>
  <c r="BK207" i="5"/>
  <c r="BM207" i="5" s="1"/>
  <c r="BJ193" i="5"/>
  <c r="BK193" i="5"/>
  <c r="BJ476" i="5"/>
  <c r="BK476" i="5"/>
  <c r="BK30" i="5"/>
  <c r="BJ30" i="5"/>
  <c r="BJ235" i="5"/>
  <c r="BK235" i="5"/>
  <c r="BJ502" i="5"/>
  <c r="BK502" i="5"/>
  <c r="BJ322" i="5"/>
  <c r="BK322" i="5"/>
  <c r="BJ258" i="5"/>
  <c r="BK258" i="5"/>
  <c r="BJ541" i="5"/>
  <c r="BL541" i="5" s="1"/>
  <c r="BK541" i="5"/>
  <c r="BJ285" i="5"/>
  <c r="BK285" i="5"/>
  <c r="BJ552" i="5"/>
  <c r="BK552" i="5"/>
  <c r="BJ55" i="5"/>
  <c r="BK55" i="5"/>
  <c r="BK366" i="5"/>
  <c r="BJ366" i="5"/>
  <c r="BJ110" i="5"/>
  <c r="BK110" i="5"/>
  <c r="BM110" i="5" s="1"/>
  <c r="BJ441" i="5"/>
  <c r="BK441" i="5"/>
  <c r="BJ404" i="5"/>
  <c r="BK404" i="5"/>
  <c r="BK148" i="5"/>
  <c r="BJ148" i="5"/>
  <c r="BK435" i="5"/>
  <c r="BJ435" i="5"/>
  <c r="BJ147" i="5"/>
  <c r="BK147" i="5"/>
  <c r="BM147" i="5" s="1"/>
  <c r="BK165" i="5"/>
  <c r="BJ165" i="5"/>
  <c r="BK192" i="5"/>
  <c r="BJ192" i="5"/>
  <c r="BJ255" i="5"/>
  <c r="BK255" i="5"/>
  <c r="BK191" i="5"/>
  <c r="BJ191" i="5"/>
  <c r="BJ177" i="5"/>
  <c r="BK177" i="5"/>
  <c r="BJ524" i="5"/>
  <c r="BK524" i="5"/>
  <c r="BJ460" i="5"/>
  <c r="BK460" i="5"/>
  <c r="BK204" i="5"/>
  <c r="BJ204" i="5"/>
  <c r="BK283" i="5"/>
  <c r="BJ283" i="5"/>
  <c r="BJ219" i="5"/>
  <c r="BK219" i="5"/>
  <c r="BK358" i="5"/>
  <c r="BJ358" i="5"/>
  <c r="BJ114" i="5"/>
  <c r="BK114" i="5"/>
  <c r="BJ461" i="5"/>
  <c r="BK461" i="5"/>
  <c r="BJ397" i="5"/>
  <c r="BK397" i="5"/>
  <c r="BJ125" i="5"/>
  <c r="BK125" i="5"/>
  <c r="BJ408" i="5"/>
  <c r="BK408" i="5"/>
  <c r="BK439" i="5"/>
  <c r="BJ439" i="5"/>
  <c r="BJ167" i="5"/>
  <c r="BK167" i="5"/>
  <c r="BJ542" i="5"/>
  <c r="BK542" i="5"/>
  <c r="BJ478" i="5"/>
  <c r="BK478" i="5"/>
  <c r="BJ222" i="5"/>
  <c r="BK222" i="5"/>
  <c r="BJ233" i="5"/>
  <c r="BK233" i="5"/>
  <c r="BK324" i="5"/>
  <c r="BJ324" i="5"/>
  <c r="BK260" i="5"/>
  <c r="BM260" i="5" s="1"/>
  <c r="BJ260" i="5"/>
  <c r="BK547" i="5"/>
  <c r="BJ547" i="5"/>
  <c r="BK323" i="5"/>
  <c r="BJ323" i="5"/>
  <c r="BJ282" i="5"/>
  <c r="BK282" i="5"/>
  <c r="BJ85" i="5"/>
  <c r="BK85" i="5"/>
  <c r="BJ560" i="5"/>
  <c r="BK560" i="5"/>
  <c r="BJ304" i="5"/>
  <c r="BK304" i="5"/>
  <c r="BK303" i="5"/>
  <c r="BJ303" i="5"/>
  <c r="BJ47" i="5"/>
  <c r="BK47" i="5"/>
  <c r="BJ20" i="5"/>
  <c r="BK20" i="5"/>
  <c r="BJ97" i="5"/>
  <c r="BK97" i="5"/>
  <c r="BJ31" i="5"/>
  <c r="BK31" i="5"/>
  <c r="BK380" i="5"/>
  <c r="BJ380" i="5"/>
  <c r="BJ316" i="5"/>
  <c r="BK316" i="5"/>
  <c r="BK60" i="5"/>
  <c r="BJ60" i="5"/>
  <c r="BK331" i="5"/>
  <c r="BJ331" i="5"/>
  <c r="BJ482" i="5"/>
  <c r="BK482" i="5"/>
  <c r="BJ226" i="5"/>
  <c r="BK226" i="5"/>
  <c r="BJ253" i="5"/>
  <c r="BL253" i="5" s="1"/>
  <c r="BK253" i="5"/>
  <c r="BJ45" i="5"/>
  <c r="BK45" i="5"/>
  <c r="BJ520" i="5"/>
  <c r="BL520" i="5" s="1"/>
  <c r="BK520" i="5"/>
  <c r="BK551" i="5"/>
  <c r="BJ551" i="5"/>
  <c r="BK8" i="5"/>
  <c r="BJ8" i="5"/>
  <c r="BL8" i="5" s="1"/>
  <c r="BJ334" i="5"/>
  <c r="BK334" i="5"/>
  <c r="BJ78" i="5"/>
  <c r="BK78" i="5"/>
  <c r="BJ89" i="5"/>
  <c r="BK89" i="5"/>
  <c r="BJ372" i="5"/>
  <c r="BL372" i="5" s="1"/>
  <c r="BK372" i="5"/>
  <c r="BK116" i="5"/>
  <c r="BJ116" i="5"/>
  <c r="BK467" i="5"/>
  <c r="BM467" i="5" s="1"/>
  <c r="BJ467" i="5"/>
  <c r="BK403" i="5"/>
  <c r="BJ403" i="5"/>
  <c r="BJ394" i="5"/>
  <c r="BK394" i="5"/>
  <c r="BK138" i="5"/>
  <c r="BJ138" i="5"/>
  <c r="BJ133" i="5"/>
  <c r="BK133" i="5"/>
  <c r="BJ416" i="5"/>
  <c r="BK416" i="5"/>
  <c r="BK447" i="5"/>
  <c r="BJ447" i="5"/>
  <c r="BL447" i="5" s="1"/>
  <c r="BJ145" i="5"/>
  <c r="BL145" i="5" s="1"/>
  <c r="BK145" i="5"/>
  <c r="BJ428" i="5"/>
  <c r="BK428" i="5"/>
  <c r="BK172" i="5"/>
  <c r="BJ172" i="5"/>
  <c r="BK459" i="5"/>
  <c r="BJ459" i="5"/>
  <c r="BJ37" i="5"/>
  <c r="BK37" i="5"/>
  <c r="BJ41" i="5"/>
  <c r="BK41" i="5"/>
  <c r="BJ326" i="5"/>
  <c r="BK326" i="5"/>
  <c r="BK338" i="5"/>
  <c r="BM338" i="5" s="1"/>
  <c r="BJ338" i="5"/>
  <c r="BJ82" i="5"/>
  <c r="BK82" i="5"/>
  <c r="BJ365" i="5"/>
  <c r="BK365" i="5"/>
  <c r="BJ376" i="5"/>
  <c r="BK376" i="5"/>
  <c r="BK120" i="5"/>
  <c r="BJ120" i="5"/>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BJ351" i="5"/>
  <c r="BK351" i="5"/>
  <c r="BJ25" i="5"/>
  <c r="BK25"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185" i="5"/>
  <c r="BK185" i="5"/>
  <c r="BJ468" i="5"/>
  <c r="BL468" i="5" s="1"/>
  <c r="BK468" i="5"/>
  <c r="BK212" i="5"/>
  <c r="BJ212" i="5"/>
  <c r="BK22" i="5"/>
  <c r="BJ22" i="5"/>
  <c r="BK499" i="5"/>
  <c r="BM499" i="5" s="1"/>
  <c r="BJ499" i="5"/>
  <c r="BJ275" i="5"/>
  <c r="BK275" i="5"/>
  <c r="BJ554" i="5"/>
  <c r="BK554" i="5"/>
  <c r="BJ490" i="5"/>
  <c r="BK490" i="5"/>
  <c r="BJ234" i="5"/>
  <c r="BK234" i="5"/>
  <c r="BM234" i="5" s="1"/>
  <c r="BJ517" i="5"/>
  <c r="BK517" i="5"/>
  <c r="BJ512" i="5"/>
  <c r="BL512" i="5" s="1"/>
  <c r="BK512" i="5"/>
  <c r="BJ256" i="5"/>
  <c r="BK256" i="5"/>
  <c r="BK63" i="5"/>
  <c r="BJ63" i="5"/>
  <c r="BJ268" i="5"/>
  <c r="BK268" i="5"/>
  <c r="BK555" i="5"/>
  <c r="BJ555" i="5"/>
  <c r="BJ7" i="5"/>
  <c r="BK7" i="5"/>
  <c r="BJ434" i="5"/>
  <c r="BL434" i="5" s="1"/>
  <c r="BK434" i="5"/>
  <c r="BJ178" i="5"/>
  <c r="BK178" i="5"/>
  <c r="BM178" i="5" s="1"/>
  <c r="BJ525" i="5"/>
  <c r="BK525" i="5"/>
  <c r="BJ189" i="5"/>
  <c r="BK189" i="5"/>
  <c r="BJ472" i="5"/>
  <c r="BK472" i="5"/>
  <c r="BJ26" i="5"/>
  <c r="BK26" i="5"/>
  <c r="BK19" i="5"/>
  <c r="BJ19" i="5"/>
  <c r="BJ286" i="5"/>
  <c r="BK286" i="5"/>
  <c r="BJ28" i="5"/>
  <c r="BK28" i="5"/>
  <c r="BK39" i="5"/>
  <c r="BJ39" i="5"/>
  <c r="BK68" i="5"/>
  <c r="BJ68" i="5"/>
  <c r="BK51" i="5"/>
  <c r="BJ51" i="5"/>
  <c r="BL51" i="5" s="1"/>
  <c r="BK346" i="5"/>
  <c r="BJ346" i="5"/>
  <c r="BJ90" i="5"/>
  <c r="BK90" i="5"/>
  <c r="BJ357" i="5"/>
  <c r="BK357" i="5"/>
  <c r="BJ149" i="5"/>
  <c r="BK368" i="5"/>
  <c r="BJ368" i="5"/>
  <c r="BK112" i="5"/>
  <c r="BJ112" i="5"/>
  <c r="BK399" i="5"/>
  <c r="BJ399" i="5"/>
  <c r="BJ111" i="5"/>
  <c r="BK111"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17" i="5"/>
  <c r="BK317" i="5"/>
  <c r="BJ109" i="5"/>
  <c r="BK109" i="5"/>
  <c r="BM109" i="5" s="1"/>
  <c r="BK136" i="5"/>
  <c r="BJ136" i="5"/>
  <c r="BK72" i="5"/>
  <c r="BJ72" i="5"/>
  <c r="BJ359" i="5"/>
  <c r="BK359" i="5"/>
  <c r="BJ87" i="5"/>
  <c r="BK87"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59" i="5"/>
  <c r="BJ59" i="5"/>
  <c r="BJ83" i="5"/>
  <c r="BK83" i="5"/>
  <c r="BK335" i="5"/>
  <c r="BJ335" i="5"/>
  <c r="BJ390" i="5"/>
  <c r="BK390" i="5"/>
  <c r="BJ402" i="5"/>
  <c r="BK402" i="5"/>
  <c r="BJ210" i="5"/>
  <c r="BK210" i="5"/>
  <c r="BJ157" i="5"/>
  <c r="BK157" i="5"/>
  <c r="BM157" i="5" s="1"/>
  <c r="BJ440" i="5"/>
  <c r="BK440" i="5"/>
  <c r="BK184" i="5"/>
  <c r="BJ184" i="5"/>
  <c r="BJ199" i="5"/>
  <c r="BK199" i="5"/>
  <c r="BJ254" i="5"/>
  <c r="BK254" i="5"/>
  <c r="BJ265" i="5"/>
  <c r="BK265" i="5"/>
  <c r="BJ356" i="5"/>
  <c r="BK356" i="5"/>
  <c r="BK292" i="5"/>
  <c r="BJ292" i="5"/>
  <c r="BJ29" i="5"/>
  <c r="BK29" i="5"/>
  <c r="BJ314" i="5"/>
  <c r="BK314" i="5"/>
  <c r="BJ325" i="5"/>
  <c r="BK325" i="5"/>
  <c r="BK53" i="5"/>
  <c r="BJ53" i="5"/>
  <c r="BK80" i="5"/>
  <c r="BJ80" i="5"/>
  <c r="BJ367" i="5"/>
  <c r="BK367" i="5"/>
  <c r="BJ79" i="5"/>
  <c r="BK79" i="5"/>
  <c r="BJ337" i="5"/>
  <c r="BK337" i="5"/>
  <c r="BJ65" i="5"/>
  <c r="BK65" i="5"/>
  <c r="BK92" i="5"/>
  <c r="BJ92" i="5"/>
  <c r="BK379" i="5"/>
  <c r="BJ107" i="5"/>
  <c r="BK107" i="5"/>
  <c r="BK21" i="5"/>
  <c r="BJ21" i="5"/>
  <c r="BK374" i="5"/>
  <c r="BJ374" i="5"/>
  <c r="BJ130" i="5"/>
  <c r="BK130" i="5"/>
  <c r="BJ424" i="5"/>
  <c r="BL424" i="5" s="1"/>
  <c r="BK424" i="5"/>
  <c r="BK455" i="5"/>
  <c r="BJ455" i="5"/>
  <c r="BJ183" i="5"/>
  <c r="BK183" i="5"/>
  <c r="BM183" i="5" s="1"/>
  <c r="BJ494" i="5"/>
  <c r="BK494" i="5"/>
  <c r="BJ238" i="5"/>
  <c r="BK238" i="5"/>
  <c r="BJ340" i="5"/>
  <c r="BK340" i="5"/>
  <c r="BK276" i="5"/>
  <c r="BJ276" i="5"/>
  <c r="BJ67" i="5"/>
  <c r="BK67" i="5"/>
  <c r="BJ298" i="5"/>
  <c r="BK298"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K343" i="5"/>
  <c r="BJ343" i="5"/>
  <c r="BJ242" i="5"/>
  <c r="BK242" i="5"/>
  <c r="BJ269" i="5"/>
  <c r="BK269" i="5"/>
  <c r="BJ536" i="5"/>
  <c r="BK536" i="5"/>
  <c r="BJ344" i="5"/>
  <c r="BK344" i="5"/>
  <c r="BJ280" i="5"/>
  <c r="BK280" i="5"/>
  <c r="BJ295" i="5"/>
  <c r="BK295" i="5"/>
  <c r="BK350" i="5"/>
  <c r="BJ350" i="5"/>
  <c r="BJ425" i="5"/>
  <c r="BK425" i="5"/>
  <c r="BJ361" i="5"/>
  <c r="BK361" i="5"/>
  <c r="BJ388" i="5"/>
  <c r="BK388" i="5"/>
  <c r="BJ410" i="5"/>
  <c r="BK410" i="5"/>
  <c r="BK154" i="5"/>
  <c r="BJ154" i="5"/>
  <c r="BK463" i="5"/>
  <c r="BK239" i="5"/>
  <c r="BJ239" i="5"/>
  <c r="BJ175" i="5"/>
  <c r="BK175" i="5"/>
  <c r="BJ508" i="5"/>
  <c r="BK508" i="5"/>
  <c r="BJ444" i="5"/>
  <c r="BK444" i="5"/>
  <c r="BK188" i="5"/>
  <c r="BJ188" i="5"/>
  <c r="BJ203" i="5"/>
  <c r="BK203" i="5"/>
  <c r="BJ505" i="5"/>
  <c r="BK505" i="5"/>
  <c r="BJ342" i="5"/>
  <c r="BK342" i="5"/>
  <c r="BK354" i="5"/>
  <c r="BJ354" i="5"/>
  <c r="BJ98" i="5"/>
  <c r="BK98" i="5"/>
  <c r="BJ445" i="5"/>
  <c r="BK445" i="5"/>
  <c r="BJ392" i="5"/>
  <c r="BK392"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K514" i="5" l="1"/>
  <c r="BK329" i="5"/>
  <c r="BJ91" i="5"/>
  <c r="BK409" i="5"/>
  <c r="BK509" i="5"/>
  <c r="BJ479" i="5"/>
  <c r="BK267" i="5"/>
  <c r="BK386" i="5"/>
  <c r="BK448" i="5"/>
  <c r="BK174" i="5"/>
  <c r="BK513" i="5"/>
  <c r="BJ498" i="5"/>
  <c r="BK58" i="5"/>
  <c r="BK558" i="5"/>
  <c r="BK375" i="5"/>
  <c r="BK301" i="5"/>
  <c r="BJ503" i="5"/>
  <c r="BJ121" i="5"/>
  <c r="BJ545" i="5"/>
  <c r="BK166" i="5"/>
  <c r="BK206" i="5"/>
  <c r="BK246" i="5"/>
  <c r="BJ311" i="5"/>
  <c r="BK75" i="5"/>
  <c r="BJ124" i="5"/>
  <c r="BJ308" i="5"/>
  <c r="BL308" i="5" s="1"/>
  <c r="BK262" i="5"/>
  <c r="BJ315" i="5"/>
  <c r="BJ471" i="5"/>
  <c r="BL471" i="5" s="1"/>
  <c r="BK437" i="5"/>
  <c r="BK169" i="5"/>
  <c r="BK237" i="5"/>
  <c r="BK202" i="5"/>
  <c r="BK50" i="5"/>
  <c r="BJ389" i="5"/>
  <c r="BJ523" i="5"/>
  <c r="BK401" i="5"/>
  <c r="BJ378" i="5"/>
  <c r="BK327" i="5"/>
  <c r="BK421" i="5"/>
  <c r="BJ429" i="5"/>
  <c r="BK457" i="5"/>
  <c r="BK548" i="5"/>
  <c r="BK105" i="5"/>
  <c r="BK23" i="5"/>
  <c r="BK131" i="5"/>
  <c r="BJ151" i="5"/>
  <c r="BK24" i="5"/>
  <c r="BK249" i="5"/>
  <c r="BK281" i="5"/>
  <c r="BK305" i="5"/>
  <c r="BM305" i="5" s="1"/>
  <c r="BK462" i="5"/>
  <c r="BK321" i="5"/>
  <c r="BK261" i="5"/>
  <c r="BJ431" i="5"/>
  <c r="BK44" i="5"/>
  <c r="BK142" i="5"/>
  <c r="BJ433" i="5"/>
  <c r="BJ465" i="5"/>
  <c r="BK296" i="5"/>
  <c r="BK537" i="5"/>
  <c r="BK146" i="5"/>
  <c r="BJ168" i="5"/>
  <c r="BE11" i="5"/>
  <c r="BJ160" i="5"/>
  <c r="BK328" i="5"/>
  <c r="BJ377" i="5"/>
  <c r="BK54" i="5"/>
  <c r="AD11" i="5"/>
  <c r="BJ144" i="5"/>
  <c r="BK319" i="5"/>
  <c r="BM319" i="5" s="1"/>
  <c r="BK532" i="5"/>
  <c r="BF11" i="5"/>
  <c r="BH11" i="5" s="1"/>
  <c r="BK236" i="5"/>
  <c r="BJ73" i="5"/>
  <c r="BJ543" i="5"/>
  <c r="BK369" i="5"/>
  <c r="BK198" i="5"/>
  <c r="BK257" i="5"/>
  <c r="BK370" i="5"/>
  <c r="BK381" i="5"/>
  <c r="BK194" i="5"/>
  <c r="BK231" i="5"/>
  <c r="BK553" i="5"/>
  <c r="BK33" i="5"/>
  <c r="BJ161" i="5"/>
  <c r="BK501" i="5"/>
  <c r="BM501" i="5" s="1"/>
  <c r="BJ211" i="5"/>
  <c r="BK422" i="5"/>
  <c r="BJ423" i="5"/>
  <c r="BK483" i="5"/>
  <c r="BK117" i="5"/>
  <c r="BM117" i="5" s="1"/>
  <c r="BK263" i="5"/>
  <c r="BJ182" i="5"/>
  <c r="BL182" i="5" s="1"/>
  <c r="BK302" i="5"/>
  <c r="BK297" i="5"/>
  <c r="BJ519" i="5"/>
  <c r="BK550" i="5"/>
  <c r="BM550" i="5" s="1"/>
  <c r="BK489" i="5"/>
  <c r="BM489" i="5" s="1"/>
  <c r="BK521" i="5"/>
  <c r="BJ417" i="5"/>
  <c r="AC139" i="4"/>
  <c r="AD139" i="4" s="1"/>
  <c r="BJ187" i="5"/>
  <c r="BJ464" i="5"/>
  <c r="BK453" i="5"/>
  <c r="BK529" i="5"/>
  <c r="BJ415" i="5"/>
  <c r="BK214" i="5"/>
  <c r="BJ251" i="5"/>
  <c r="BK119" i="5"/>
  <c r="AK109" i="4"/>
  <c r="BK70" i="5"/>
  <c r="BJ132" i="5"/>
  <c r="AK153" i="4"/>
  <c r="BK115" i="5"/>
  <c r="BJ216" i="5"/>
  <c r="BL216" i="5" s="1"/>
  <c r="BK418" i="5"/>
  <c r="BJ507" i="5"/>
  <c r="BK484" i="5"/>
  <c r="AQ11" i="5"/>
  <c r="BK406" i="5"/>
  <c r="BK432" i="5"/>
  <c r="BK398" i="5"/>
  <c r="BK393"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C59" i="4" s="1"/>
  <c r="AD59" i="4" s="1"/>
  <c r="AF131" i="4"/>
  <c r="AO131" i="4" s="1"/>
  <c r="AA84" i="4"/>
  <c r="AF84" i="4" s="1"/>
  <c r="AO84" i="4" s="1"/>
  <c r="AA83" i="4"/>
  <c r="AK102" i="4"/>
  <c r="AK124" i="4"/>
  <c r="AK118" i="4"/>
  <c r="AA75" i="4"/>
  <c r="AF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F59"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BG11" i="5" l="1"/>
  <c r="AO148" i="4"/>
  <c r="AC75" i="4"/>
  <c r="AD75" i="4" s="1"/>
  <c r="AO75" i="4"/>
  <c r="AG75" i="4"/>
  <c r="AI75" i="4" s="1"/>
  <c r="AG114" i="4"/>
  <c r="AI114" i="4" s="1"/>
  <c r="AR114" i="4" s="1"/>
  <c r="AT114" i="4" s="1"/>
  <c r="AO116" i="4"/>
  <c r="AG129" i="4"/>
  <c r="AI129" i="4" s="1"/>
  <c r="AR129" i="4" s="1"/>
  <c r="AT129" i="4" s="1"/>
  <c r="AF88" i="4"/>
  <c r="AO88" i="4" s="1"/>
  <c r="BK11" i="5"/>
  <c r="AO109" i="4"/>
  <c r="AR109" i="4" s="1"/>
  <c r="AT109" i="4" s="1"/>
  <c r="AO154" i="4"/>
  <c r="AR154" i="4" s="1"/>
  <c r="AT154" i="4" s="1"/>
  <c r="AC54" i="4"/>
  <c r="AD54" i="4" s="1"/>
  <c r="AC82" i="4"/>
  <c r="AD82" i="4" s="1"/>
  <c r="AG99" i="4"/>
  <c r="AI99" i="4" s="1"/>
  <c r="AR99" i="4" s="1"/>
  <c r="AT99" i="4" s="1"/>
  <c r="AO14" i="4"/>
  <c r="AR14" i="4" s="1"/>
  <c r="AT14" i="4" s="1"/>
  <c r="AG107" i="4"/>
  <c r="AI107" i="4" s="1"/>
  <c r="AR107" i="4" s="1"/>
  <c r="AT107" i="4" s="1"/>
  <c r="AC156" i="4"/>
  <c r="AD156" i="4" s="1"/>
  <c r="AC51" i="4"/>
  <c r="AD51" i="4" s="1"/>
  <c r="AC37" i="4"/>
  <c r="AD37" i="4" s="1"/>
  <c r="AG131" i="4"/>
  <c r="AI131" i="4" s="1"/>
  <c r="AR131" i="4" s="1"/>
  <c r="AT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R145" i="4" s="1"/>
  <c r="AT145" i="4" s="1"/>
  <c r="AG113" i="4"/>
  <c r="AI113" i="4" s="1"/>
  <c r="AR113" i="4" s="1"/>
  <c r="AT113" i="4" s="1"/>
  <c r="AG144" i="4"/>
  <c r="AI144" i="4" s="1"/>
  <c r="AR144" i="4" s="1"/>
  <c r="AT144" i="4" s="1"/>
  <c r="AC83" i="4"/>
  <c r="AD83" i="4" s="1"/>
  <c r="AF83" i="4"/>
  <c r="AG84" i="4"/>
  <c r="AI84" i="4" s="1"/>
  <c r="AR84" i="4" s="1"/>
  <c r="AT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R136" i="4" s="1"/>
  <c r="AT136" i="4" s="1"/>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X23" i="4"/>
  <c r="AA23" i="4" s="1"/>
  <c r="AA12" i="4"/>
  <c r="AF12" i="4" s="1"/>
  <c r="AR94" i="4"/>
  <c r="AT94" i="4" s="1"/>
  <c r="AK19" i="4"/>
  <c r="AR116" i="4"/>
  <c r="AT116" i="4" s="1"/>
  <c r="AR139" i="4"/>
  <c r="AT139" i="4" s="1"/>
  <c r="AK20" i="4"/>
  <c r="AK21" i="4"/>
  <c r="AR148" i="4"/>
  <c r="AT148"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A18" i="4"/>
  <c r="AK10" i="4"/>
  <c r="AA22" i="4"/>
  <c r="AG82" i="4"/>
  <c r="AI82" i="4" s="1"/>
  <c r="AO82" i="4"/>
  <c r="AO156" i="4"/>
  <c r="AG156" i="4"/>
  <c r="AI156" i="4" s="1"/>
  <c r="AG11" i="4"/>
  <c r="AI11" i="4" s="1"/>
  <c r="AO11" i="4"/>
  <c r="AA9" i="4"/>
  <c r="AK16" i="4"/>
  <c r="AC138" i="4"/>
  <c r="AD138" i="4" s="1"/>
  <c r="AF138" i="4"/>
  <c r="AF17" i="4"/>
  <c r="AC17" i="4"/>
  <c r="AD17" i="4" s="1"/>
  <c r="AO28" i="4"/>
  <c r="AG28" i="4"/>
  <c r="AI28" i="4" s="1"/>
  <c r="AO80" i="4"/>
  <c r="AG80" i="4"/>
  <c r="AI80" i="4" s="1"/>
  <c r="AR72" i="4"/>
  <c r="AT72"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R75" i="4" l="1"/>
  <c r="AT75" i="4" s="1"/>
  <c r="AC71" i="4"/>
  <c r="AD71" i="4" s="1"/>
  <c r="AG88" i="4"/>
  <c r="AI88" i="4" s="1"/>
  <c r="AR88" i="4" s="1"/>
  <c r="AT88" i="4" s="1"/>
  <c r="AC61" i="4"/>
  <c r="AD61" i="4" s="1"/>
  <c r="AC76" i="4"/>
  <c r="AD76" i="4" s="1"/>
  <c r="AC142" i="4"/>
  <c r="AD142" i="4" s="1"/>
  <c r="AF103" i="4"/>
  <c r="AO103" i="4" s="1"/>
  <c r="AG49" i="4"/>
  <c r="AI49" i="4" s="1"/>
  <c r="AR49" i="4" s="1"/>
  <c r="AT49" i="4" s="1"/>
  <c r="AF130" i="4"/>
  <c r="AF100" i="4"/>
  <c r="AO100" i="4" s="1"/>
  <c r="AF63" i="4"/>
  <c r="AG63" i="4" s="1"/>
  <c r="AI63" i="4" s="1"/>
  <c r="AC87" i="4"/>
  <c r="AD87" i="4" s="1"/>
  <c r="AF157" i="4"/>
  <c r="AO157" i="4" s="1"/>
  <c r="AC55" i="4"/>
  <c r="AD55" i="4" s="1"/>
  <c r="AC93" i="4"/>
  <c r="AD93" i="4" s="1"/>
  <c r="AF152" i="4"/>
  <c r="AG152" i="4" s="1"/>
  <c r="AI152" i="4" s="1"/>
  <c r="AF48" i="4"/>
  <c r="AO48" i="4" s="1"/>
  <c r="AA85" i="4"/>
  <c r="AC85" i="4" s="1"/>
  <c r="AD85" i="4" s="1"/>
  <c r="AR57" i="4"/>
  <c r="AT57" i="4" s="1"/>
  <c r="AA77" i="4"/>
  <c r="AC77" i="4" s="1"/>
  <c r="AD77" i="4" s="1"/>
  <c r="AG52" i="4"/>
  <c r="AI52" i="4" s="1"/>
  <c r="AR52" i="4" s="1"/>
  <c r="AT52" i="4" s="1"/>
  <c r="AR51" i="4"/>
  <c r="AT51" i="4" s="1"/>
  <c r="AO83" i="4"/>
  <c r="AG83" i="4"/>
  <c r="AI83" i="4" s="1"/>
  <c r="AR54" i="4"/>
  <c r="AT54" i="4" s="1"/>
  <c r="AF108" i="4"/>
  <c r="AO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G53" i="4" s="1"/>
  <c r="AI53" i="4" s="1"/>
  <c r="AA58" i="4"/>
  <c r="AF58" i="4" s="1"/>
  <c r="AO58" i="4" s="1"/>
  <c r="AO50" i="4"/>
  <c r="AG50" i="4"/>
  <c r="AI50" i="4" s="1"/>
  <c r="AO150" i="4"/>
  <c r="AG150" i="4"/>
  <c r="AI150" i="4" s="1"/>
  <c r="AF134" i="4"/>
  <c r="AG134" i="4" s="1"/>
  <c r="AI134" i="4" s="1"/>
  <c r="AC140" i="4"/>
  <c r="AD140" i="4" s="1"/>
  <c r="AF111" i="4"/>
  <c r="AO111" i="4" s="1"/>
  <c r="AG146" i="4"/>
  <c r="AI146" i="4" s="1"/>
  <c r="AR146" i="4" s="1"/>
  <c r="AT146" i="4" s="1"/>
  <c r="AK142" i="4"/>
  <c r="AK152" i="4"/>
  <c r="AK151" i="4"/>
  <c r="AK76" i="4"/>
  <c r="AK78" i="4"/>
  <c r="AF126" i="4"/>
  <c r="AG126" i="4" s="1"/>
  <c r="AI126" i="4" s="1"/>
  <c r="AC126" i="4"/>
  <c r="AD126" i="4" s="1"/>
  <c r="AC66" i="4"/>
  <c r="AD66" i="4" s="1"/>
  <c r="AF66" i="4"/>
  <c r="AO66" i="4" s="1"/>
  <c r="AC70" i="4"/>
  <c r="AD70" i="4" s="1"/>
  <c r="AF70" i="4"/>
  <c r="AO70" i="4" s="1"/>
  <c r="AF95" i="4"/>
  <c r="AO95" i="4" s="1"/>
  <c r="AC95" i="4"/>
  <c r="AD95" i="4" s="1"/>
  <c r="AC128" i="4"/>
  <c r="AD128" i="4" s="1"/>
  <c r="AF128" i="4"/>
  <c r="AO128" i="4" s="1"/>
  <c r="AF56" i="4"/>
  <c r="AO56" i="4" s="1"/>
  <c r="AC56" i="4"/>
  <c r="AD56" i="4" s="1"/>
  <c r="AC143" i="4"/>
  <c r="AD143" i="4" s="1"/>
  <c r="AF143" i="4"/>
  <c r="AG143" i="4" s="1"/>
  <c r="AI143" i="4" s="1"/>
  <c r="AF127" i="4"/>
  <c r="AG127" i="4" s="1"/>
  <c r="AI127" i="4" s="1"/>
  <c r="AC127" i="4"/>
  <c r="AD127" i="4" s="1"/>
  <c r="AC120" i="4"/>
  <c r="AD120" i="4" s="1"/>
  <c r="AF120" i="4"/>
  <c r="AO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143" i="4"/>
  <c r="AO93" i="4"/>
  <c r="AG93" i="4"/>
  <c r="AI93" i="4" s="1"/>
  <c r="AO39" i="4"/>
  <c r="AG39" i="4"/>
  <c r="AI39" i="4" s="1"/>
  <c r="AO140" i="4"/>
  <c r="AG140" i="4"/>
  <c r="AI140" i="4" s="1"/>
  <c r="AO76" i="4"/>
  <c r="AG76" i="4"/>
  <c r="AI76" i="4" s="1"/>
  <c r="AO21" i="4"/>
  <c r="AG21" i="4"/>
  <c r="AI21" i="4" s="1"/>
  <c r="AO130" i="4"/>
  <c r="AG130" i="4"/>
  <c r="AI130" i="4" s="1"/>
  <c r="AO135" i="4"/>
  <c r="AG135" i="4"/>
  <c r="AI135" i="4" s="1"/>
  <c r="AO98" i="4"/>
  <c r="AG98" i="4"/>
  <c r="AI98" i="4" s="1"/>
  <c r="AO71" i="4"/>
  <c r="AG71" i="4"/>
  <c r="AI71" i="4" s="1"/>
  <c r="AO55" i="4"/>
  <c r="AG55" i="4"/>
  <c r="AI55" i="4" s="1"/>
  <c r="AO38" i="4"/>
  <c r="AG38" i="4"/>
  <c r="AI38" i="4" s="1"/>
  <c r="AO20" i="4"/>
  <c r="AG20" i="4"/>
  <c r="AI20" i="4" s="1"/>
  <c r="AG17" i="4"/>
  <c r="AI17" i="4" s="1"/>
  <c r="AO17" i="4"/>
  <c r="AO44" i="4"/>
  <c r="AG44" i="4"/>
  <c r="AI44" i="4" s="1"/>
  <c r="AC9" i="4"/>
  <c r="AD9" i="4" s="1"/>
  <c r="AF9" i="4"/>
  <c r="AO87" i="4"/>
  <c r="AG87" i="4"/>
  <c r="AI87" i="4" s="1"/>
  <c r="AO10" i="4"/>
  <c r="AG10" i="4"/>
  <c r="AI10" i="4" s="1"/>
  <c r="AR80" i="4"/>
  <c r="AT80" i="4" s="1"/>
  <c r="AO142" i="4"/>
  <c r="AG142" i="4"/>
  <c r="AI14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G16" i="4"/>
  <c r="AI16" i="4" s="1"/>
  <c r="AO16" i="4"/>
  <c r="AG19" i="4"/>
  <c r="AI19" i="4" s="1"/>
  <c r="AO19" i="4"/>
  <c r="AO7" i="4"/>
  <c r="AR7" i="4" s="1"/>
  <c r="AT7" i="4" s="1"/>
  <c r="BL9" i="5"/>
  <c r="AG56" i="4" l="1"/>
  <c r="AI56" i="4" s="1"/>
  <c r="AO127" i="4"/>
  <c r="AG100" i="4"/>
  <c r="AI100" i="4" s="1"/>
  <c r="AR100" i="4" s="1"/>
  <c r="AT100" i="4" s="1"/>
  <c r="AG103" i="4"/>
  <c r="AI103" i="4" s="1"/>
  <c r="AO68" i="4"/>
  <c r="AR68" i="4" s="1"/>
  <c r="AT68" i="4" s="1"/>
  <c r="AO134" i="4"/>
  <c r="AO63" i="4"/>
  <c r="AR63" i="4" s="1"/>
  <c r="AT63" i="4" s="1"/>
  <c r="AG66" i="4"/>
  <c r="AI66" i="4" s="1"/>
  <c r="AR66" i="4" s="1"/>
  <c r="AT66" i="4" s="1"/>
  <c r="AG157" i="4"/>
  <c r="AI157" i="4" s="1"/>
  <c r="AR157" i="4" s="1"/>
  <c r="AT157" i="4" s="1"/>
  <c r="AG70" i="4"/>
  <c r="AI70" i="4" s="1"/>
  <c r="AR70" i="4" s="1"/>
  <c r="AT70" i="4" s="1"/>
  <c r="AG90" i="4"/>
  <c r="AI90" i="4" s="1"/>
  <c r="AR90" i="4" s="1"/>
  <c r="AT90" i="4" s="1"/>
  <c r="AG111" i="4"/>
  <c r="AI111" i="4" s="1"/>
  <c r="AR111" i="4" s="1"/>
  <c r="AT111" i="4" s="1"/>
  <c r="AG120" i="4"/>
  <c r="AI120" i="4" s="1"/>
  <c r="AR120" i="4" s="1"/>
  <c r="AT120" i="4" s="1"/>
  <c r="AG108" i="4"/>
  <c r="AI108" i="4" s="1"/>
  <c r="AR108" i="4" s="1"/>
  <c r="AT108" i="4" s="1"/>
  <c r="AG151" i="4"/>
  <c r="AI151" i="4" s="1"/>
  <c r="AO119" i="4"/>
  <c r="AR119" i="4" s="1"/>
  <c r="AT119" i="4" s="1"/>
  <c r="AO152" i="4"/>
  <c r="AR152" i="4" s="1"/>
  <c r="AT152" i="4" s="1"/>
  <c r="AO53" i="4"/>
  <c r="AR53" i="4" s="1"/>
  <c r="AT53" i="4" s="1"/>
  <c r="AG132" i="4"/>
  <c r="AI132" i="4" s="1"/>
  <c r="AR132" i="4" s="1"/>
  <c r="AT132" i="4" s="1"/>
  <c r="AG128" i="4"/>
  <c r="AI128" i="4" s="1"/>
  <c r="AR128" i="4" s="1"/>
  <c r="AT128" i="4" s="1"/>
  <c r="AG48" i="4"/>
  <c r="AI48" i="4" s="1"/>
  <c r="AR48" i="4" s="1"/>
  <c r="AT48" i="4" s="1"/>
  <c r="AF85" i="4"/>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1" i="4"/>
  <c r="AT41" i="4" s="1"/>
  <c r="AR43" i="4"/>
  <c r="AT43" i="4" s="1"/>
  <c r="AR39" i="4"/>
  <c r="AT39" i="4" s="1"/>
  <c r="AR143" i="4"/>
  <c r="AT143" i="4" s="1"/>
  <c r="AR36" i="4"/>
  <c r="AT36" i="4" s="1"/>
  <c r="AR24" i="4"/>
  <c r="AT24" i="4" s="1"/>
  <c r="AR35" i="4"/>
  <c r="AT35" i="4" s="1"/>
  <c r="AO23" i="4"/>
  <c r="AR23" i="4" s="1"/>
  <c r="AT23" i="4" s="1"/>
  <c r="AR31" i="4"/>
  <c r="AT31" i="4" s="1"/>
  <c r="AR33" i="4"/>
  <c r="AT33" i="4" s="1"/>
  <c r="AR12" i="4"/>
  <c r="AT12" i="4" s="1"/>
  <c r="AR103" i="4"/>
  <c r="AT103" i="4" s="1"/>
  <c r="AR141" i="4"/>
  <c r="AT141" i="4" s="1"/>
  <c r="AR134" i="4"/>
  <c r="AT134" i="4" s="1"/>
  <c r="AR101" i="4"/>
  <c r="AT101" i="4" s="1"/>
  <c r="AR21" i="4"/>
  <c r="AT21" i="4" s="1"/>
  <c r="AR76" i="4"/>
  <c r="AT76" i="4" s="1"/>
  <c r="AR26" i="4"/>
  <c r="AT26" i="4" s="1"/>
  <c r="AR30" i="4"/>
  <c r="AT30" i="4" s="1"/>
  <c r="AR16" i="4"/>
  <c r="AT16" i="4" s="1"/>
  <c r="AR138" i="4"/>
  <c r="AT138" i="4" s="1"/>
  <c r="AR61" i="4"/>
  <c r="AT61" i="4" s="1"/>
  <c r="AR56" i="4"/>
  <c r="AT56" i="4" s="1"/>
  <c r="AR55" i="4"/>
  <c r="AT55" i="4" s="1"/>
  <c r="AR140" i="4"/>
  <c r="AT140" i="4" s="1"/>
  <c r="AR93" i="4"/>
  <c r="AT93" i="4" s="1"/>
  <c r="AR78" i="4"/>
  <c r="AT78" i="4" s="1"/>
  <c r="AG18" i="4"/>
  <c r="AI18" i="4" s="1"/>
  <c r="AO18" i="4"/>
  <c r="AR96" i="4"/>
  <c r="AT96" i="4" s="1"/>
  <c r="AR142" i="4"/>
  <c r="AT142" i="4" s="1"/>
  <c r="AG9" i="4"/>
  <c r="AI9" i="4" s="1"/>
  <c r="AO9" i="4"/>
  <c r="AR135" i="4"/>
  <c r="AT135" i="4" s="1"/>
  <c r="AR127" i="4"/>
  <c r="AT127" i="4" s="1"/>
  <c r="AR17" i="4"/>
  <c r="AT17" i="4" s="1"/>
  <c r="AO22" i="4"/>
  <c r="AG22" i="4"/>
  <c r="AI22" i="4" s="1"/>
  <c r="AR19" i="4"/>
  <c r="AT19" i="4" s="1"/>
  <c r="AR79" i="4"/>
  <c r="AT79" i="4" s="1"/>
  <c r="AR10" i="4"/>
  <c r="AT10" i="4" s="1"/>
  <c r="AR87" i="4"/>
  <c r="AT87" i="4" s="1"/>
  <c r="AR151" i="4"/>
  <c r="AT151" i="4" s="1"/>
  <c r="AR44" i="4"/>
  <c r="AT44" i="4" s="1"/>
  <c r="AR20" i="4"/>
  <c r="AT20" i="4" s="1"/>
  <c r="AR38" i="4"/>
  <c r="AT38" i="4" s="1"/>
  <c r="AR71" i="4"/>
  <c r="AT71" i="4" s="1"/>
  <c r="AR98" i="4"/>
  <c r="AT98" i="4" s="1"/>
  <c r="AR130" i="4"/>
  <c r="AT130" i="4" s="1"/>
  <c r="H67" i="1"/>
  <c r="AO85" i="4" l="1"/>
  <c r="AG85" i="4"/>
  <c r="AI85" i="4" s="1"/>
  <c r="AG77" i="4"/>
  <c r="AI77" i="4" s="1"/>
  <c r="AO77" i="4"/>
  <c r="AR89" i="4"/>
  <c r="AT89" i="4" s="1"/>
  <c r="AG64" i="4"/>
  <c r="AI64" i="4" s="1"/>
  <c r="AO64" i="4"/>
  <c r="AG149" i="4"/>
  <c r="AI149" i="4" s="1"/>
  <c r="AO149" i="4"/>
  <c r="AR18" i="4"/>
  <c r="AT18" i="4" s="1"/>
  <c r="AR9" i="4"/>
  <c r="AT9" i="4" s="1"/>
  <c r="AR22" i="4"/>
  <c r="AT22" i="4" s="1"/>
  <c r="AR85" i="4" l="1"/>
  <c r="AT85" i="4" s="1"/>
  <c r="AR77" i="4"/>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<sst xmlns="http://schemas.openxmlformats.org/spreadsheetml/2006/main" count="1018" uniqueCount="591">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</sst>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23" fillId="9" borderId="0" xfId="0" applyFont="1" applyFill="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7B61-4283-810C-F12CE5C5D333}"/>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B61-4283-810C-F12CE5C5D333}"/>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B61-4283-810C-F12CE5C5D333}"/>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419.61755240801034</c:v>
                </c:pt>
              </c:numCache>
            </c:numRef>
          </c:xVal>
          <c:yVal>
            <c:numRef>
              <c:f>Loop_Modeling!$BL$11</c:f>
              <c:numCache>
                <c:formatCode>General</c:formatCode>
                <c:ptCount val="1"/>
                <c:pt idx="0">
                  <c:v>29.626847247756572</c:v>
                </c:pt>
              </c:numCache>
            </c:numRef>
          </c:yVal>
          <c:smooth val="0"/>
          <c:extLst>
            <c:ext xmlns:c16="http://schemas.microsoft.com/office/drawing/2014/chart" uri="{C3380CC4-5D6E-409C-BE32-E72D297353CC}">
              <c16:uniqueId val="{00000002-7B61-4283-810C-F12CE5C5D333}"/>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65108.84035577537</c:v>
                </c:pt>
              </c:numCache>
            </c:numRef>
          </c:xVal>
          <c:yVal>
            <c:numRef>
              <c:f>Loop_Modeling!$BL$9</c:f>
              <c:numCache>
                <c:formatCode>General</c:formatCode>
                <c:ptCount val="1"/>
                <c:pt idx="0">
                  <c:v>-26.433425560905953</c:v>
                </c:pt>
              </c:numCache>
            </c:numRef>
          </c:yVal>
          <c:smooth val="1"/>
          <c:extLst>
            <c:ext xmlns:c16="http://schemas.microsoft.com/office/drawing/2014/chart" uri="{C3380CC4-5D6E-409C-BE32-E72D297353CC}">
              <c16:uniqueId val="{00000004-7B61-4283-810C-F12CE5C5D333}"/>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B61-4283-810C-F12CE5C5D333}"/>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B61-4283-810C-F12CE5C5D333}"/>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89918.046944573638</c:v>
                </c:pt>
              </c:numCache>
            </c:numRef>
          </c:xVal>
          <c:yVal>
            <c:numRef>
              <c:f>Loop_Modeling!$BL$10</c:f>
              <c:numCache>
                <c:formatCode>General</c:formatCode>
                <c:ptCount val="1"/>
                <c:pt idx="0">
                  <c:v>-29.691866828382651</c:v>
                </c:pt>
              </c:numCache>
            </c:numRef>
          </c:yVal>
          <c:smooth val="1"/>
          <c:extLst>
            <c:ext xmlns:c16="http://schemas.microsoft.com/office/drawing/2014/chart" uri="{C3380CC4-5D6E-409C-BE32-E72D297353CC}">
              <c16:uniqueId val="{00000006-7B61-4283-810C-F12CE5C5D333}"/>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B61-4283-810C-F12CE5C5D33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1035.3561221174559</c:v>
                </c:pt>
              </c:numCache>
            </c:numRef>
          </c:xVal>
          <c:yVal>
            <c:numRef>
              <c:f>Loop_Modeling!$BL$12</c:f>
              <c:numCache>
                <c:formatCode>General</c:formatCode>
                <c:ptCount val="1"/>
                <c:pt idx="0">
                  <c:v>18.628185488577568</c:v>
                </c:pt>
              </c:numCache>
            </c:numRef>
          </c:yVal>
          <c:smooth val="1"/>
          <c:extLst>
            <c:ext xmlns:c16="http://schemas.microsoft.com/office/drawing/2014/chart" uri="{C3380CC4-5D6E-409C-BE32-E72D297353CC}">
              <c16:uniqueId val="{00000008-7B61-4283-810C-F12CE5C5D333}"/>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B61-4283-810C-F12CE5C5D333}"/>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19671.766320231662</c:v>
                </c:pt>
              </c:numCache>
            </c:numRef>
          </c:xVal>
          <c:yVal>
            <c:numRef>
              <c:f>Loop_Modeling!$BL$13</c:f>
              <c:numCache>
                <c:formatCode>General</c:formatCode>
                <c:ptCount val="1"/>
                <c:pt idx="0">
                  <c:v>-11.785254938207903</c:v>
                </c:pt>
              </c:numCache>
            </c:numRef>
          </c:yVal>
          <c:smooth val="1"/>
          <c:extLst>
            <c:ext xmlns:c16="http://schemas.microsoft.com/office/drawing/2014/chart" uri="{C3380CC4-5D6E-409C-BE32-E72D297353CC}">
              <c16:uniqueId val="{0000000A-7B61-4283-810C-F12CE5C5D333}"/>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B-7B61-4283-810C-F12CE5C5D333}"/>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554C-4873-BA15-CBCC20149DCF}"/>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554C-4873-BA15-CBCC20149DCF}"/>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554C-4873-BA15-CBCC20149DC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554C-4873-BA15-CBCC20149DCF}"/>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ED55-4090-9A4A-DCF1DA6E3B25}"/>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ED55-4090-9A4A-DCF1DA6E3B25}"/>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5.3333333333333337E-2</c:v>
                </c:pt>
                <c:pt idx="1">
                  <c:v>0.10666666666666667</c:v>
                </c:pt>
                <c:pt idx="2">
                  <c:v>0.16</c:v>
                </c:pt>
                <c:pt idx="3">
                  <c:v>0.21333333333333335</c:v>
                </c:pt>
                <c:pt idx="4">
                  <c:v>0.26666666666666666</c:v>
                </c:pt>
                <c:pt idx="5">
                  <c:v>0.32</c:v>
                </c:pt>
                <c:pt idx="6">
                  <c:v>0.37333333333333335</c:v>
                </c:pt>
                <c:pt idx="7">
                  <c:v>0.42666666666666669</c:v>
                </c:pt>
                <c:pt idx="8">
                  <c:v>0.48000000000000004</c:v>
                </c:pt>
                <c:pt idx="9">
                  <c:v>0.53333333333333333</c:v>
                </c:pt>
                <c:pt idx="10">
                  <c:v>0.58666666666666667</c:v>
                </c:pt>
                <c:pt idx="11">
                  <c:v>0.64</c:v>
                </c:pt>
                <c:pt idx="12">
                  <c:v>0.69333333333333336</c:v>
                </c:pt>
                <c:pt idx="13">
                  <c:v>0.7466666666666667</c:v>
                </c:pt>
                <c:pt idx="14">
                  <c:v>0.8</c:v>
                </c:pt>
                <c:pt idx="15">
                  <c:v>0.85333333333333339</c:v>
                </c:pt>
                <c:pt idx="16">
                  <c:v>0.90666666666666673</c:v>
                </c:pt>
                <c:pt idx="17">
                  <c:v>0.96000000000000008</c:v>
                </c:pt>
                <c:pt idx="18">
                  <c:v>1.0133333333333334</c:v>
                </c:pt>
                <c:pt idx="19">
                  <c:v>1.0666666666666667</c:v>
                </c:pt>
                <c:pt idx="20">
                  <c:v>1.1200000000000001</c:v>
                </c:pt>
                <c:pt idx="21">
                  <c:v>1.1733333333333333</c:v>
                </c:pt>
                <c:pt idx="22">
                  <c:v>1.2266666666666668</c:v>
                </c:pt>
                <c:pt idx="23">
                  <c:v>1.28</c:v>
                </c:pt>
                <c:pt idx="24">
                  <c:v>1.3333333333333335</c:v>
                </c:pt>
                <c:pt idx="25">
                  <c:v>1.3866666666666667</c:v>
                </c:pt>
                <c:pt idx="26">
                  <c:v>1.4400000000000002</c:v>
                </c:pt>
                <c:pt idx="27">
                  <c:v>1.4933333333333334</c:v>
                </c:pt>
                <c:pt idx="28">
                  <c:v>1.5466666666666669</c:v>
                </c:pt>
                <c:pt idx="29">
                  <c:v>1.6</c:v>
                </c:pt>
                <c:pt idx="30">
                  <c:v>1.6533333333333335</c:v>
                </c:pt>
                <c:pt idx="31">
                  <c:v>1.7066666666666668</c:v>
                </c:pt>
                <c:pt idx="32">
                  <c:v>1.76</c:v>
                </c:pt>
                <c:pt idx="33">
                  <c:v>1.8133333333333335</c:v>
                </c:pt>
                <c:pt idx="34">
                  <c:v>1.8666666666666667</c:v>
                </c:pt>
                <c:pt idx="35">
                  <c:v>1.9200000000000002</c:v>
                </c:pt>
                <c:pt idx="36">
                  <c:v>1.9733333333333334</c:v>
                </c:pt>
                <c:pt idx="37">
                  <c:v>2.0266666666666668</c:v>
                </c:pt>
                <c:pt idx="38">
                  <c:v>2.08</c:v>
                </c:pt>
                <c:pt idx="39">
                  <c:v>2.1333333333333333</c:v>
                </c:pt>
                <c:pt idx="40">
                  <c:v>2.186666666666667</c:v>
                </c:pt>
                <c:pt idx="41">
                  <c:v>2.2400000000000002</c:v>
                </c:pt>
                <c:pt idx="42">
                  <c:v>2.2933333333333334</c:v>
                </c:pt>
                <c:pt idx="43">
                  <c:v>2.3466666666666667</c:v>
                </c:pt>
                <c:pt idx="44">
                  <c:v>2.4000000000000004</c:v>
                </c:pt>
                <c:pt idx="45">
                  <c:v>2.4533333333333336</c:v>
                </c:pt>
                <c:pt idx="46">
                  <c:v>2.5066666666666668</c:v>
                </c:pt>
                <c:pt idx="47">
                  <c:v>2.56</c:v>
                </c:pt>
                <c:pt idx="48">
                  <c:v>2.6133333333333333</c:v>
                </c:pt>
                <c:pt idx="49">
                  <c:v>2.666666666666667</c:v>
                </c:pt>
                <c:pt idx="50">
                  <c:v>2.72</c:v>
                </c:pt>
                <c:pt idx="51">
                  <c:v>2.7733333333333334</c:v>
                </c:pt>
                <c:pt idx="52">
                  <c:v>2.8266666666666667</c:v>
                </c:pt>
                <c:pt idx="53">
                  <c:v>2.8800000000000003</c:v>
                </c:pt>
                <c:pt idx="54">
                  <c:v>2.9333333333333336</c:v>
                </c:pt>
                <c:pt idx="55">
                  <c:v>2.9866666666666668</c:v>
                </c:pt>
                <c:pt idx="56">
                  <c:v>3.04</c:v>
                </c:pt>
                <c:pt idx="57">
                  <c:v>3.0933333333333337</c:v>
                </c:pt>
                <c:pt idx="58">
                  <c:v>3.1466666666666669</c:v>
                </c:pt>
                <c:pt idx="59">
                  <c:v>3.2</c:v>
                </c:pt>
                <c:pt idx="60">
                  <c:v>3.2533333333333334</c:v>
                </c:pt>
                <c:pt idx="61">
                  <c:v>3.3066666666666671</c:v>
                </c:pt>
                <c:pt idx="62">
                  <c:v>3.3600000000000003</c:v>
                </c:pt>
                <c:pt idx="63">
                  <c:v>3.4133333333333336</c:v>
                </c:pt>
                <c:pt idx="64">
                  <c:v>3.4666666666666668</c:v>
                </c:pt>
                <c:pt idx="65">
                  <c:v>3.52</c:v>
                </c:pt>
                <c:pt idx="66">
                  <c:v>3.5733333333333337</c:v>
                </c:pt>
                <c:pt idx="67">
                  <c:v>3.6266666666666669</c:v>
                </c:pt>
                <c:pt idx="68">
                  <c:v>3.68</c:v>
                </c:pt>
                <c:pt idx="69">
                  <c:v>3.7333333333333334</c:v>
                </c:pt>
                <c:pt idx="70">
                  <c:v>3.7866666666666671</c:v>
                </c:pt>
                <c:pt idx="71">
                  <c:v>3.8400000000000003</c:v>
                </c:pt>
                <c:pt idx="72">
                  <c:v>3.8933333333333335</c:v>
                </c:pt>
                <c:pt idx="73">
                  <c:v>3.9466666666666668</c:v>
                </c:pt>
                <c:pt idx="74">
                  <c:v>4</c:v>
                </c:pt>
                <c:pt idx="75">
                  <c:v>4.0533333333333337</c:v>
                </c:pt>
                <c:pt idx="76">
                  <c:v>4.1066666666666674</c:v>
                </c:pt>
                <c:pt idx="77">
                  <c:v>4.16</c:v>
                </c:pt>
                <c:pt idx="78">
                  <c:v>4.2133333333333338</c:v>
                </c:pt>
                <c:pt idx="79">
                  <c:v>4.2666666666666666</c:v>
                </c:pt>
                <c:pt idx="80">
                  <c:v>4.32</c:v>
                </c:pt>
                <c:pt idx="81">
                  <c:v>4.373333333333334</c:v>
                </c:pt>
                <c:pt idx="82">
                  <c:v>4.4266666666666667</c:v>
                </c:pt>
                <c:pt idx="83">
                  <c:v>4.4800000000000004</c:v>
                </c:pt>
                <c:pt idx="84">
                  <c:v>4.5333333333333332</c:v>
                </c:pt>
                <c:pt idx="85">
                  <c:v>4.5866666666666669</c:v>
                </c:pt>
                <c:pt idx="86">
                  <c:v>4.6400000000000006</c:v>
                </c:pt>
                <c:pt idx="87">
                  <c:v>4.6933333333333334</c:v>
                </c:pt>
                <c:pt idx="88">
                  <c:v>4.746666666666667</c:v>
                </c:pt>
                <c:pt idx="89">
                  <c:v>4.8000000000000007</c:v>
                </c:pt>
                <c:pt idx="90">
                  <c:v>4.8533333333333335</c:v>
                </c:pt>
                <c:pt idx="91">
                  <c:v>4.9066666666666672</c:v>
                </c:pt>
                <c:pt idx="92">
                  <c:v>4.96</c:v>
                </c:pt>
                <c:pt idx="93">
                  <c:v>5.0133333333333336</c:v>
                </c:pt>
                <c:pt idx="94">
                  <c:v>5.0666666666666673</c:v>
                </c:pt>
                <c:pt idx="95">
                  <c:v>5.12</c:v>
                </c:pt>
                <c:pt idx="96">
                  <c:v>5.1733333333333338</c:v>
                </c:pt>
                <c:pt idx="97">
                  <c:v>5.2266666666666666</c:v>
                </c:pt>
                <c:pt idx="98">
                  <c:v>5.28</c:v>
                </c:pt>
                <c:pt idx="99">
                  <c:v>5.3333333333333339</c:v>
                </c:pt>
                <c:pt idx="100">
                  <c:v>5.3866666666666667</c:v>
                </c:pt>
                <c:pt idx="101">
                  <c:v>5.44</c:v>
                </c:pt>
                <c:pt idx="102">
                  <c:v>5.4933333333333341</c:v>
                </c:pt>
                <c:pt idx="103">
                  <c:v>5.5466666666666669</c:v>
                </c:pt>
                <c:pt idx="104">
                  <c:v>5.6000000000000005</c:v>
                </c:pt>
                <c:pt idx="105">
                  <c:v>5.6533333333333333</c:v>
                </c:pt>
                <c:pt idx="106">
                  <c:v>5.706666666666667</c:v>
                </c:pt>
                <c:pt idx="107">
                  <c:v>5.7600000000000007</c:v>
                </c:pt>
                <c:pt idx="108">
                  <c:v>5.8133333333333335</c:v>
                </c:pt>
                <c:pt idx="109">
                  <c:v>5.8666666666666671</c:v>
                </c:pt>
                <c:pt idx="110">
                  <c:v>5.9200000000000008</c:v>
                </c:pt>
                <c:pt idx="111">
                  <c:v>5.9733333333333336</c:v>
                </c:pt>
                <c:pt idx="112">
                  <c:v>6.0266666666666673</c:v>
                </c:pt>
                <c:pt idx="113">
                  <c:v>6.08</c:v>
                </c:pt>
                <c:pt idx="114">
                  <c:v>6.1333333333333337</c:v>
                </c:pt>
                <c:pt idx="115">
                  <c:v>6.1866666666666674</c:v>
                </c:pt>
                <c:pt idx="116">
                  <c:v>6.24</c:v>
                </c:pt>
                <c:pt idx="117">
                  <c:v>6.2933333333333339</c:v>
                </c:pt>
                <c:pt idx="118">
                  <c:v>6.3466666666666667</c:v>
                </c:pt>
                <c:pt idx="119">
                  <c:v>6.4</c:v>
                </c:pt>
                <c:pt idx="120">
                  <c:v>6.453333333333334</c:v>
                </c:pt>
                <c:pt idx="121">
                  <c:v>6.5066666666666668</c:v>
                </c:pt>
                <c:pt idx="122">
                  <c:v>6.5600000000000005</c:v>
                </c:pt>
                <c:pt idx="123">
                  <c:v>6.6133333333333342</c:v>
                </c:pt>
                <c:pt idx="124">
                  <c:v>6.666666666666667</c:v>
                </c:pt>
                <c:pt idx="125">
                  <c:v>6.7200000000000006</c:v>
                </c:pt>
                <c:pt idx="126">
                  <c:v>6.7733333333333334</c:v>
                </c:pt>
                <c:pt idx="127">
                  <c:v>6.8266666666666671</c:v>
                </c:pt>
                <c:pt idx="128">
                  <c:v>6.8800000000000008</c:v>
                </c:pt>
                <c:pt idx="129">
                  <c:v>6.9333333333333336</c:v>
                </c:pt>
                <c:pt idx="130">
                  <c:v>6.9866666666666672</c:v>
                </c:pt>
                <c:pt idx="131">
                  <c:v>7.04</c:v>
                </c:pt>
                <c:pt idx="132">
                  <c:v>7.0933333333333337</c:v>
                </c:pt>
                <c:pt idx="133">
                  <c:v>7.1466666666666674</c:v>
                </c:pt>
                <c:pt idx="134">
                  <c:v>7.2</c:v>
                </c:pt>
                <c:pt idx="135">
                  <c:v>7.2533333333333339</c:v>
                </c:pt>
                <c:pt idx="136">
                  <c:v>7.3066666666666675</c:v>
                </c:pt>
                <c:pt idx="137">
                  <c:v>7.36</c:v>
                </c:pt>
                <c:pt idx="138">
                  <c:v>7.413333333333334</c:v>
                </c:pt>
                <c:pt idx="139">
                  <c:v>7.4666666666666668</c:v>
                </c:pt>
                <c:pt idx="140">
                  <c:v>7.5200000000000005</c:v>
                </c:pt>
                <c:pt idx="141">
                  <c:v>7.5733333333333341</c:v>
                </c:pt>
                <c:pt idx="142">
                  <c:v>7.6266666666666669</c:v>
                </c:pt>
                <c:pt idx="143">
                  <c:v>7.6800000000000006</c:v>
                </c:pt>
                <c:pt idx="144">
                  <c:v>7.7333333333333334</c:v>
                </c:pt>
                <c:pt idx="145">
                  <c:v>7.7866666666666671</c:v>
                </c:pt>
                <c:pt idx="146">
                  <c:v>7.8400000000000007</c:v>
                </c:pt>
                <c:pt idx="147">
                  <c:v>7.8933333333333335</c:v>
                </c:pt>
                <c:pt idx="148">
                  <c:v>7.9466666666666672</c:v>
                </c:pt>
                <c:pt idx="149">
                  <c:v>8</c:v>
                </c:pt>
              </c:numCache>
            </c:numRef>
          </c:xVal>
          <c:yVal>
            <c:numRef>
              <c:f>Eff_vs_IOUT!$AN$8:$AN$157</c:f>
              <c:numCache>
                <c:formatCode>General</c:formatCode>
                <c:ptCount val="150"/>
                <c:pt idx="0">
                  <c:v>4.8138666666666667</c:v>
                </c:pt>
                <c:pt idx="1">
                  <c:v>4.8173333333333339</c:v>
                </c:pt>
                <c:pt idx="2">
                  <c:v>4.8208000000000002</c:v>
                </c:pt>
                <c:pt idx="3">
                  <c:v>4.8242666666666674</c:v>
                </c:pt>
                <c:pt idx="4">
                  <c:v>4.8277333333333337</c:v>
                </c:pt>
                <c:pt idx="5">
                  <c:v>4.8312000000000008</c:v>
                </c:pt>
                <c:pt idx="6">
                  <c:v>4.8346666666666671</c:v>
                </c:pt>
                <c:pt idx="7">
                  <c:v>4.8381333333333334</c:v>
                </c:pt>
                <c:pt idx="8">
                  <c:v>4.8416000000000006</c:v>
                </c:pt>
                <c:pt idx="9">
                  <c:v>4.8450666666666669</c:v>
                </c:pt>
                <c:pt idx="10">
                  <c:v>4.848533333333334</c:v>
                </c:pt>
                <c:pt idx="11">
                  <c:v>4.8520000000000003</c:v>
                </c:pt>
                <c:pt idx="12">
                  <c:v>4.8554666666666675</c:v>
                </c:pt>
                <c:pt idx="13">
                  <c:v>4.8589333333333338</c:v>
                </c:pt>
                <c:pt idx="14">
                  <c:v>4.8624000000000001</c:v>
                </c:pt>
                <c:pt idx="15">
                  <c:v>4.8658666666666672</c:v>
                </c:pt>
                <c:pt idx="16">
                  <c:v>4.8693333333333335</c:v>
                </c:pt>
                <c:pt idx="17">
                  <c:v>4.8728000000000007</c:v>
                </c:pt>
                <c:pt idx="18">
                  <c:v>4.876266666666667</c:v>
                </c:pt>
                <c:pt idx="19">
                  <c:v>4.8797333333333341</c:v>
                </c:pt>
                <c:pt idx="20">
                  <c:v>4.8832000000000004</c:v>
                </c:pt>
                <c:pt idx="21">
                  <c:v>4.8866666666666667</c:v>
                </c:pt>
                <c:pt idx="22">
                  <c:v>4.8901333333333339</c:v>
                </c:pt>
                <c:pt idx="23">
                  <c:v>4.8936000000000002</c:v>
                </c:pt>
                <c:pt idx="24">
                  <c:v>4.8970666666666673</c:v>
                </c:pt>
                <c:pt idx="25">
                  <c:v>4.9005333333333336</c:v>
                </c:pt>
                <c:pt idx="26">
                  <c:v>4.9040000000000008</c:v>
                </c:pt>
                <c:pt idx="27">
                  <c:v>4.9074666666666671</c:v>
                </c:pt>
                <c:pt idx="28">
                  <c:v>4.9109333333333334</c:v>
                </c:pt>
                <c:pt idx="29">
                  <c:v>4.9144000000000005</c:v>
                </c:pt>
                <c:pt idx="30">
                  <c:v>4.9178666666666668</c:v>
                </c:pt>
                <c:pt idx="31">
                  <c:v>4.921333333333334</c:v>
                </c:pt>
                <c:pt idx="32">
                  <c:v>4.9248000000000003</c:v>
                </c:pt>
                <c:pt idx="33">
                  <c:v>4.9282666666666675</c:v>
                </c:pt>
                <c:pt idx="34">
                  <c:v>4.9317333333333337</c:v>
                </c:pt>
                <c:pt idx="35">
                  <c:v>4.9352</c:v>
                </c:pt>
                <c:pt idx="36">
                  <c:v>4.9386666666666672</c:v>
                </c:pt>
                <c:pt idx="37">
                  <c:v>4.9421333333333335</c:v>
                </c:pt>
                <c:pt idx="38">
                  <c:v>4.9456000000000007</c:v>
                </c:pt>
                <c:pt idx="39">
                  <c:v>4.9490666666666669</c:v>
                </c:pt>
                <c:pt idx="40">
                  <c:v>4.9525333333333341</c:v>
                </c:pt>
                <c:pt idx="41">
                  <c:v>4.9560000000000004</c:v>
                </c:pt>
                <c:pt idx="42">
                  <c:v>4.9594666666666676</c:v>
                </c:pt>
                <c:pt idx="43">
                  <c:v>4.9629333333333339</c:v>
                </c:pt>
                <c:pt idx="44">
                  <c:v>4.9664000000000001</c:v>
                </c:pt>
                <c:pt idx="45">
                  <c:v>4.9698666666666673</c:v>
                </c:pt>
                <c:pt idx="46">
                  <c:v>4.9733333333333336</c:v>
                </c:pt>
                <c:pt idx="47">
                  <c:v>4.9768000000000008</c:v>
                </c:pt>
                <c:pt idx="48">
                  <c:v>4.9802666666666671</c:v>
                </c:pt>
                <c:pt idx="49">
                  <c:v>4.9837333333333342</c:v>
                </c:pt>
                <c:pt idx="50">
                  <c:v>4.9872000000000005</c:v>
                </c:pt>
                <c:pt idx="51">
                  <c:v>4.9906666666666668</c:v>
                </c:pt>
                <c:pt idx="52">
                  <c:v>4.994133333333334</c:v>
                </c:pt>
                <c:pt idx="53">
                  <c:v>4.9976000000000003</c:v>
                </c:pt>
                <c:pt idx="54">
                  <c:v>5.0010666666666674</c:v>
                </c:pt>
                <c:pt idx="55">
                  <c:v>5.0045333333333337</c:v>
                </c:pt>
                <c:pt idx="56">
                  <c:v>5.0080000000000009</c:v>
                </c:pt>
                <c:pt idx="57">
                  <c:v>5.0114666666666672</c:v>
                </c:pt>
                <c:pt idx="58">
                  <c:v>5.0149333333333335</c:v>
                </c:pt>
                <c:pt idx="59">
                  <c:v>5.0184000000000006</c:v>
                </c:pt>
                <c:pt idx="60">
                  <c:v>5.0218666666666669</c:v>
                </c:pt>
                <c:pt idx="61">
                  <c:v>5.0253333333333341</c:v>
                </c:pt>
                <c:pt idx="62">
                  <c:v>5.0288000000000004</c:v>
                </c:pt>
                <c:pt idx="63">
                  <c:v>5.0322666666666676</c:v>
                </c:pt>
                <c:pt idx="64">
                  <c:v>5.0357333333333338</c:v>
                </c:pt>
                <c:pt idx="65">
                  <c:v>5.0392000000000001</c:v>
                </c:pt>
                <c:pt idx="66">
                  <c:v>5.0426666666666673</c:v>
                </c:pt>
                <c:pt idx="67">
                  <c:v>5.0461333333333336</c:v>
                </c:pt>
                <c:pt idx="68">
                  <c:v>5.0496000000000008</c:v>
                </c:pt>
                <c:pt idx="69">
                  <c:v>5.053066666666667</c:v>
                </c:pt>
                <c:pt idx="70">
                  <c:v>5.0565333333333342</c:v>
                </c:pt>
                <c:pt idx="71">
                  <c:v>5.0600000000000005</c:v>
                </c:pt>
                <c:pt idx="72">
                  <c:v>5.0634666666666668</c:v>
                </c:pt>
                <c:pt idx="73">
                  <c:v>5.066933333333334</c:v>
                </c:pt>
                <c:pt idx="74">
                  <c:v>5.0704000000000002</c:v>
                </c:pt>
                <c:pt idx="75">
                  <c:v>5.0738666666666674</c:v>
                </c:pt>
                <c:pt idx="76">
                  <c:v>5.0773333333333337</c:v>
                </c:pt>
                <c:pt idx="77">
                  <c:v>5.0808000000000009</c:v>
                </c:pt>
                <c:pt idx="78">
                  <c:v>5.0842666666666672</c:v>
                </c:pt>
                <c:pt idx="79">
                  <c:v>5.0877333333333334</c:v>
                </c:pt>
                <c:pt idx="80">
                  <c:v>5.0912000000000006</c:v>
                </c:pt>
                <c:pt idx="81">
                  <c:v>5.0946666666666669</c:v>
                </c:pt>
                <c:pt idx="82">
                  <c:v>5.0981333333333341</c:v>
                </c:pt>
                <c:pt idx="83">
                  <c:v>5.1016000000000004</c:v>
                </c:pt>
                <c:pt idx="84">
                  <c:v>5.1050666666666675</c:v>
                </c:pt>
                <c:pt idx="85">
                  <c:v>5.1085333333333338</c:v>
                </c:pt>
                <c:pt idx="86">
                  <c:v>5.1120000000000001</c:v>
                </c:pt>
                <c:pt idx="87">
                  <c:v>5.1154666666666673</c:v>
                </c:pt>
                <c:pt idx="88">
                  <c:v>5.1189333333333336</c:v>
                </c:pt>
                <c:pt idx="89">
                  <c:v>5.1224000000000007</c:v>
                </c:pt>
                <c:pt idx="90">
                  <c:v>5.125866666666667</c:v>
                </c:pt>
                <c:pt idx="91">
                  <c:v>5.1293333333333342</c:v>
                </c:pt>
                <c:pt idx="92">
                  <c:v>5.1328000000000005</c:v>
                </c:pt>
                <c:pt idx="93">
                  <c:v>5.1362666666666668</c:v>
                </c:pt>
                <c:pt idx="94">
                  <c:v>5.1397333333333339</c:v>
                </c:pt>
                <c:pt idx="95">
                  <c:v>5.1432000000000002</c:v>
                </c:pt>
                <c:pt idx="96">
                  <c:v>5.1466666666666674</c:v>
                </c:pt>
                <c:pt idx="97">
                  <c:v>5.1501333333333337</c:v>
                </c:pt>
                <c:pt idx="98">
                  <c:v>5.1536000000000008</c:v>
                </c:pt>
                <c:pt idx="99">
                  <c:v>5.1570666666666671</c:v>
                </c:pt>
                <c:pt idx="100">
                  <c:v>5.1605333333333334</c:v>
                </c:pt>
                <c:pt idx="101">
                  <c:v>5.1640000000000006</c:v>
                </c:pt>
                <c:pt idx="102">
                  <c:v>5.1674666666666669</c:v>
                </c:pt>
                <c:pt idx="103">
                  <c:v>5.170933333333334</c:v>
                </c:pt>
                <c:pt idx="104">
                  <c:v>5.1744000000000003</c:v>
                </c:pt>
                <c:pt idx="105">
                  <c:v>5.1778666666666675</c:v>
                </c:pt>
                <c:pt idx="106">
                  <c:v>5.1813333333333338</c:v>
                </c:pt>
                <c:pt idx="107">
                  <c:v>5.184800000000001</c:v>
                </c:pt>
                <c:pt idx="108">
                  <c:v>5.1882666666666672</c:v>
                </c:pt>
                <c:pt idx="109">
                  <c:v>5.1917333333333335</c:v>
                </c:pt>
                <c:pt idx="110">
                  <c:v>5.1952000000000007</c:v>
                </c:pt>
                <c:pt idx="111">
                  <c:v>5.198666666666667</c:v>
                </c:pt>
                <c:pt idx="112">
                  <c:v>5.2021333333333342</c:v>
                </c:pt>
                <c:pt idx="113">
                  <c:v>5.2056000000000004</c:v>
                </c:pt>
                <c:pt idx="114">
                  <c:v>5.2090666666666667</c:v>
                </c:pt>
                <c:pt idx="115">
                  <c:v>5.2125333333333339</c:v>
                </c:pt>
                <c:pt idx="116">
                  <c:v>5.2160000000000002</c:v>
                </c:pt>
                <c:pt idx="117">
                  <c:v>5.2194666666666674</c:v>
                </c:pt>
                <c:pt idx="118">
                  <c:v>5.2229333333333336</c:v>
                </c:pt>
                <c:pt idx="119">
                  <c:v>5.2264000000000008</c:v>
                </c:pt>
                <c:pt idx="120">
                  <c:v>5.2298666666666671</c:v>
                </c:pt>
                <c:pt idx="121">
                  <c:v>5.2333333333333343</c:v>
                </c:pt>
                <c:pt idx="122">
                  <c:v>5.2368000000000006</c:v>
                </c:pt>
                <c:pt idx="123">
                  <c:v>5.2402666666666669</c:v>
                </c:pt>
                <c:pt idx="124">
                  <c:v>5.243733333333334</c:v>
                </c:pt>
                <c:pt idx="125">
                  <c:v>5.2472000000000003</c:v>
                </c:pt>
                <c:pt idx="126">
                  <c:v>5.2506666666666675</c:v>
                </c:pt>
                <c:pt idx="127">
                  <c:v>5.2541333333333338</c:v>
                </c:pt>
                <c:pt idx="128">
                  <c:v>5.2576000000000001</c:v>
                </c:pt>
                <c:pt idx="129">
                  <c:v>5.2610666666666672</c:v>
                </c:pt>
                <c:pt idx="130">
                  <c:v>5.2645333333333335</c:v>
                </c:pt>
                <c:pt idx="131">
                  <c:v>5.2680000000000007</c:v>
                </c:pt>
                <c:pt idx="132">
                  <c:v>5.271466666666667</c:v>
                </c:pt>
                <c:pt idx="133">
                  <c:v>5.2749333333333341</c:v>
                </c:pt>
                <c:pt idx="134">
                  <c:v>5.2784000000000004</c:v>
                </c:pt>
                <c:pt idx="135">
                  <c:v>5.2818666666666676</c:v>
                </c:pt>
                <c:pt idx="136">
                  <c:v>5.2853333333333339</c:v>
                </c:pt>
                <c:pt idx="137">
                  <c:v>5.2888000000000002</c:v>
                </c:pt>
                <c:pt idx="138">
                  <c:v>5.2922666666666673</c:v>
                </c:pt>
                <c:pt idx="139">
                  <c:v>5.2957333333333336</c:v>
                </c:pt>
                <c:pt idx="140">
                  <c:v>5.2992000000000008</c:v>
                </c:pt>
                <c:pt idx="141">
                  <c:v>5.3026666666666671</c:v>
                </c:pt>
                <c:pt idx="142">
                  <c:v>5.3061333333333334</c:v>
                </c:pt>
                <c:pt idx="143">
                  <c:v>5.3096000000000005</c:v>
                </c:pt>
                <c:pt idx="144">
                  <c:v>5.3130666666666668</c:v>
                </c:pt>
                <c:pt idx="145">
                  <c:v>5.316533333333334</c:v>
                </c:pt>
                <c:pt idx="146">
                  <c:v>5.32</c:v>
                </c:pt>
                <c:pt idx="147">
                  <c:v>5.3234666666666675</c:v>
                </c:pt>
                <c:pt idx="148">
                  <c:v>5.3269333333333337</c:v>
                </c:pt>
                <c:pt idx="149">
                  <c:v>5.3304000000000009</c:v>
                </c:pt>
              </c:numCache>
            </c:numRef>
          </c:yVal>
          <c:smooth val="1"/>
          <c:extLst>
            <c:ext xmlns:c16="http://schemas.microsoft.com/office/drawing/2014/chart" uri="{C3380CC4-5D6E-409C-BE32-E72D297353CC}">
              <c16:uniqueId val="{00000002-ED55-4090-9A4A-DCF1DA6E3B25}"/>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ED55-4090-9A4A-DCF1DA6E3B25}"/>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Eff_vs_IOUT!$AT$7:$AT$157</c:f>
              <c:numCache>
                <c:formatCode>General</c:formatCode>
                <c:ptCount val="151"/>
                <c:pt idx="0">
                  <c:v>0</c:v>
                </c:pt>
                <c:pt idx="1">
                  <c:v>11.399331387853147</c:v>
                </c:pt>
                <c:pt idx="2">
                  <c:v>20.351999462323082</c:v>
                </c:pt>
                <c:pt idx="3">
                  <c:v>27.567339761399861</c:v>
                </c:pt>
                <c:pt idx="4">
                  <c:v>33.504709931382415</c:v>
                </c:pt>
                <c:pt idx="5">
                  <c:v>38.474638627284314</c:v>
                </c:pt>
                <c:pt idx="6">
                  <c:v>42.69457096557138</c:v>
                </c:pt>
                <c:pt idx="7">
                  <c:v>46.321310686992312</c:v>
                </c:pt>
                <c:pt idx="8">
                  <c:v>49.470780227385561</c:v>
                </c:pt>
                <c:pt idx="9">
                  <c:v>52.230527758961202</c:v>
                </c:pt>
                <c:pt idx="10">
                  <c:v>54.66790774413424</c:v>
                </c:pt>
                <c:pt idx="11">
                  <c:v>56.83558574196136</c:v>
                </c:pt>
                <c:pt idx="12">
                  <c:v>58.77533567742713</c:v>
                </c:pt>
                <c:pt idx="13">
                  <c:v>60.702861383185521</c:v>
                </c:pt>
                <c:pt idx="14">
                  <c:v>62.307422797459466</c:v>
                </c:pt>
                <c:pt idx="15">
                  <c:v>63.768170568823365</c:v>
                </c:pt>
                <c:pt idx="16">
                  <c:v>65.10359232892975</c:v>
                </c:pt>
                <c:pt idx="17">
                  <c:v>66.329137072358975</c:v>
                </c:pt>
                <c:pt idx="18">
                  <c:v>67.457814806934508</c:v>
                </c:pt>
                <c:pt idx="19">
                  <c:v>68.500659592536124</c:v>
                </c:pt>
                <c:pt idx="20">
                  <c:v>69.467090949921044</c:v>
                </c:pt>
                <c:pt idx="21">
                  <c:v>70.365198745118732</c:v>
                </c:pt>
                <c:pt idx="22">
                  <c:v>71.201969808788633</c:v>
                </c:pt>
                <c:pt idx="23">
                  <c:v>71.983469734807358</c:v>
                </c:pt>
                <c:pt idx="24">
                  <c:v>72.714989870147591</c:v>
                </c:pt>
                <c:pt idx="25">
                  <c:v>73.401167031159559</c:v>
                </c:pt>
                <c:pt idx="26">
                  <c:v>74.046081673125613</c:v>
                </c:pt>
                <c:pt idx="27">
                  <c:v>74.653338905673067</c:v>
                </c:pt>
                <c:pt idx="28">
                  <c:v>75.226135752180213</c:v>
                </c:pt>
                <c:pt idx="29">
                  <c:v>75.767317303166109</c:v>
                </c:pt>
                <c:pt idx="30">
                  <c:v>76.279423845852591</c:v>
                </c:pt>
                <c:pt idx="31">
                  <c:v>76.764730617581037</c:v>
                </c:pt>
                <c:pt idx="32">
                  <c:v>77.225281495674082</c:v>
                </c:pt>
                <c:pt idx="33">
                  <c:v>77.662917676006103</c:v>
                </c:pt>
                <c:pt idx="34">
                  <c:v>78.079302188898396</c:v>
                </c:pt>
                <c:pt idx="35">
                  <c:v>78.475940940600481</c:v>
                </c:pt>
                <c:pt idx="36">
                  <c:v>78.854200841564762</c:v>
                </c:pt>
                <c:pt idx="37">
                  <c:v>79.215325481458905</c:v>
                </c:pt>
                <c:pt idx="38">
                  <c:v>79.560448729700383</c:v>
                </c:pt>
                <c:pt idx="39">
                  <c:v>79.890606574900218</c:v>
                </c:pt>
                <c:pt idx="40">
                  <c:v>80.206747463640269</c:v>
                </c:pt>
                <c:pt idx="41">
                  <c:v>80.509741355906471</c:v>
                </c:pt>
                <c:pt idx="42">
                  <c:v>80.800387679261902</c:v>
                </c:pt>
                <c:pt idx="43">
                  <c:v>81.079422334904365</c:v>
                </c:pt>
                <c:pt idx="44">
                  <c:v>81.347523884888489</c:v>
                </c:pt>
                <c:pt idx="45">
                  <c:v>81.605319030031012</c:v>
                </c:pt>
                <c:pt idx="46">
                  <c:v>81.85338747159112</c:v>
                </c:pt>
                <c:pt idx="47">
                  <c:v>82.092266236111826</c:v>
                </c:pt>
                <c:pt idx="48">
                  <c:v>82.322453531331334</c:v>
                </c:pt>
                <c:pt idx="49">
                  <c:v>82.54441219143078</c:v>
                </c:pt>
                <c:pt idx="50">
                  <c:v>82.758572761754039</c:v>
                </c:pt>
                <c:pt idx="51">
                  <c:v>82.965336266260522</c:v>
                </c:pt>
                <c:pt idx="52">
                  <c:v>83.165076695139462</c:v>
                </c:pt>
                <c:pt idx="53">
                  <c:v>83.358143245051039</c:v>
                </c:pt>
                <c:pt idx="54">
                  <c:v>83.544862340225663</c:v>
                </c:pt>
                <c:pt idx="55">
                  <c:v>83.725539459029534</c:v>
                </c:pt>
                <c:pt idx="56">
                  <c:v>83.900460787496556</c:v>
                </c:pt>
                <c:pt idx="57">
                  <c:v>84.069894718652918</c:v>
                </c:pt>
                <c:pt idx="58">
                  <c:v>84.234093214155834</c:v>
                </c:pt>
                <c:pt idx="59">
                  <c:v>84.393293042775369</c:v>
                </c:pt>
                <c:pt idx="60">
                  <c:v>84.547716908521863</c:v>
                </c:pt>
                <c:pt idx="61">
                  <c:v>84.697574479723556</c:v>
                </c:pt>
                <c:pt idx="62">
                  <c:v>84.843063329053422</c:v>
                </c:pt>
                <c:pt idx="63">
                  <c:v>84.98436979336833</c:v>
                </c:pt>
                <c:pt idx="64">
                  <c:v>85.121669761228503</c:v>
                </c:pt>
                <c:pt idx="65">
                  <c:v>85.255129395096091</c:v>
                </c:pt>
                <c:pt idx="66">
                  <c:v>85.384905794447292</c:v>
                </c:pt>
                <c:pt idx="67">
                  <c:v>85.511147605362368</c:v>
                </c:pt>
                <c:pt idx="68">
                  <c:v>85.633995581566339</c:v>
                </c:pt>
                <c:pt idx="69">
                  <c:v>85.753583101372328</c:v>
                </c:pt>
                <c:pt idx="70">
                  <c:v>85.870036644519203</c:v>
                </c:pt>
                <c:pt idx="71">
                  <c:v>85.983476232486794</c:v>
                </c:pt>
                <c:pt idx="72">
                  <c:v>86.094015835511655</c:v>
                </c:pt>
                <c:pt idx="73">
                  <c:v>86.201763749204488</c:v>
                </c:pt>
                <c:pt idx="74">
                  <c:v>86.306822943385313</c:v>
                </c:pt>
                <c:pt idx="75">
                  <c:v>86.409291385498861</c:v>
                </c:pt>
                <c:pt idx="76">
                  <c:v>86.509262340744726</c:v>
                </c:pt>
                <c:pt idx="77">
                  <c:v>86.606824650855287</c:v>
                </c:pt>
                <c:pt idx="78">
                  <c:v>86.702062993272989</c:v>
                </c:pt>
                <c:pt idx="79">
                  <c:v>86.795058122315808</c:v>
                </c:pt>
                <c:pt idx="80">
                  <c:v>86.885887093774954</c:v>
                </c:pt>
                <c:pt idx="81">
                  <c:v>86.974623474257271</c:v>
                </c:pt>
                <c:pt idx="82">
                  <c:v>87.061337536468031</c:v>
                </c:pt>
                <c:pt idx="83">
                  <c:v>87.14609644152327</c:v>
                </c:pt>
                <c:pt idx="84">
                  <c:v>87.228964409285936</c:v>
                </c:pt>
                <c:pt idx="85">
                  <c:v>87.310002877633636</c:v>
                </c:pt>
                <c:pt idx="86">
                  <c:v>87.389270651488104</c:v>
                </c:pt>
                <c:pt idx="87">
                  <c:v>87.466824042366213</c:v>
                </c:pt>
                <c:pt idx="88">
                  <c:v>87.542716999148112</c:v>
                </c:pt>
                <c:pt idx="89">
                  <c:v>87.617001230701291</c:v>
                </c:pt>
                <c:pt idx="90">
                  <c:v>87.68972632094551</c:v>
                </c:pt>
                <c:pt idx="91">
                  <c:v>87.760939836897379</c:v>
                </c:pt>
                <c:pt idx="92">
                  <c:v>87.830687430188775</c:v>
                </c:pt>
                <c:pt idx="93">
                  <c:v>87.899012932514665</c:v>
                </c:pt>
                <c:pt idx="94">
                  <c:v>87.965958445429663</c:v>
                </c:pt>
                <c:pt idx="95">
                  <c:v>88.03156442487969</c:v>
                </c:pt>
                <c:pt idx="96">
                  <c:v>88.095869760825636</c:v>
                </c:pt>
                <c:pt idx="97">
                  <c:v>88.158911852288014</c:v>
                </c:pt>
                <c:pt idx="98">
                  <c:v>88.220726678117316</c:v>
                </c:pt>
                <c:pt idx="99">
                  <c:v>88.28134886377083</c:v>
                </c:pt>
                <c:pt idx="100">
                  <c:v>88.340811744357126</c:v>
                </c:pt>
                <c:pt idx="101">
                  <c:v>88.399147424188513</c:v>
                </c:pt>
                <c:pt idx="102">
                  <c:v>88.456386833065906</c:v>
                </c:pt>
                <c:pt idx="103">
                  <c:v>88.512559779502595</c:v>
                </c:pt>
                <c:pt idx="104">
                  <c:v>88.567695001080025</c:v>
                </c:pt>
                <c:pt idx="105">
                  <c:v>88.621820212114002</c:v>
                </c:pt>
                <c:pt idx="106">
                  <c:v>88.674962148797221</c:v>
                </c:pt>
                <c:pt idx="107">
                  <c:v>88.727146611973239</c:v>
                </c:pt>
                <c:pt idx="108">
                  <c:v>88.778398507685012</c:v>
                </c:pt>
                <c:pt idx="109">
                  <c:v>88.828741885632212</c:v>
                </c:pt>
                <c:pt idx="110">
                  <c:v>88.87819997566217</c:v>
                </c:pt>
                <c:pt idx="111">
                  <c:v>88.926795222410433</c:v>
                </c:pt>
                <c:pt idx="112">
                  <c:v>88.974549318199806</c:v>
                </c:pt>
                <c:pt idx="113">
                  <c:v>89.021483234298969</c:v>
                </c:pt>
                <c:pt idx="114">
                  <c:v>89.067617250635465</c:v>
                </c:pt>
                <c:pt idx="115">
                  <c:v>89.112970984051273</c:v>
                </c:pt>
                <c:pt idx="116">
                  <c:v>89.157563415184043</c:v>
                </c:pt>
                <c:pt idx="117">
                  <c:v>89.201412914050835</c:v>
                </c:pt>
                <c:pt idx="118">
                  <c:v>89.244537264407541</c:v>
                </c:pt>
                <c:pt idx="119">
                  <c:v>89.286953686951009</c:v>
                </c:pt>
                <c:pt idx="120">
                  <c:v>89.328678861428216</c:v>
                </c:pt>
                <c:pt idx="121">
                  <c:v>89.369728947711678</c:v>
                </c:pt>
                <c:pt idx="122">
                  <c:v>89.410119605897037</c:v>
                </c:pt>
                <c:pt idx="123">
                  <c:v>89.449866015475806</c:v>
                </c:pt>
                <c:pt idx="124">
                  <c:v>89.488982893631743</c:v>
                </c:pt>
                <c:pt idx="125">
                  <c:v>89.527484512708185</c:v>
                </c:pt>
                <c:pt idx="126">
                  <c:v>89.565384716888929</c:v>
                </c:pt>
                <c:pt idx="127">
                  <c:v>89.602696938134514</c:v>
                </c:pt>
                <c:pt idx="128">
                  <c:v>89.639434211411526</c:v>
                </c:pt>
                <c:pt idx="129">
                  <c:v>89.675609189252114</c:v>
                </c:pt>
                <c:pt idx="130">
                  <c:v>89.711234155677076</c:v>
                </c:pt>
                <c:pt idx="131">
                  <c:v>89.746321039515323</c:v>
                </c:pt>
                <c:pt idx="132">
                  <c:v>89.780881427149609</c:v>
                </c:pt>
                <c:pt idx="133">
                  <c:v>89.814926574717475</c:v>
                </c:pt>
                <c:pt idx="134">
                  <c:v>89.848467419794162</c:v>
                </c:pt>
                <c:pt idx="135">
                  <c:v>89.88151459258296</c:v>
                </c:pt>
                <c:pt idx="136">
                  <c:v>89.91407842663736</c:v>
                </c:pt>
                <c:pt idx="137">
                  <c:v>89.946168969137261</c:v>
                </c:pt>
                <c:pt idx="138">
                  <c:v>89.977795990741143</c:v>
                </c:pt>
                <c:pt idx="139">
                  <c:v>90.008968995034081</c:v>
                </c:pt>
                <c:pt idx="140">
                  <c:v>90.039697227591191</c:v>
                </c:pt>
                <c:pt idx="141">
                  <c:v>90.069989684674326</c:v>
                </c:pt>
                <c:pt idx="142">
                  <c:v>90.099855121579537</c:v>
                </c:pt>
                <c:pt idx="143">
                  <c:v>90.129302060651128</c:v>
                </c:pt>
                <c:pt idx="144">
                  <c:v>90.158338798978278</c:v>
                </c:pt>
                <c:pt idx="145">
                  <c:v>90.186973415788202</c:v>
                </c:pt>
                <c:pt idx="146">
                  <c:v>90.215213779550368</c:v>
                </c:pt>
                <c:pt idx="147">
                  <c:v>90.243067554804242</c:v>
                </c:pt>
                <c:pt idx="148">
                  <c:v>90.270542208723398</c:v>
                </c:pt>
                <c:pt idx="149">
                  <c:v>90.297645017427797</c:v>
                </c:pt>
                <c:pt idx="150">
                  <c:v>90.324383072055241</c:v>
                </c:pt>
              </c:numCache>
            </c:numRef>
          </c:yVal>
          <c:smooth val="0"/>
          <c:extLst>
            <c:ext xmlns:c16="http://schemas.microsoft.com/office/drawing/2014/chart" uri="{C3380CC4-5D6E-409C-BE32-E72D297353CC}">
              <c16:uniqueId val="{00000000-1F7F-4636-A580-34FBFDC03A54}"/>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Eff_vs_IOUT!$AI$7:$AI$157</c:f>
              <c:numCache>
                <c:formatCode>General</c:formatCode>
                <c:ptCount val="151"/>
                <c:pt idx="0">
                  <c:v>0</c:v>
                </c:pt>
                <c:pt idx="1">
                  <c:v>3.0688422846378155E-2</c:v>
                </c:pt>
                <c:pt idx="2">
                  <c:v>6.1698845561160738E-2</c:v>
                </c:pt>
                <c:pt idx="3">
                  <c:v>9.2993225390309048E-2</c:v>
                </c:pt>
                <c:pt idx="4">
                  <c:v>0.12456442108820792</c:v>
                </c:pt>
                <c:pt idx="5">
                  <c:v>0.15641171467429674</c:v>
                </c:pt>
                <c:pt idx="6">
                  <c:v>0.18853695734407408</c:v>
                </c:pt>
                <c:pt idx="7">
                  <c:v>0.22094326260400959</c:v>
                </c:pt>
                <c:pt idx="8">
                  <c:v>0.25363443438372413</c:v>
                </c:pt>
                <c:pt idx="9">
                  <c:v>0.28661467796121587</c:v>
                </c:pt>
                <c:pt idx="10">
                  <c:v>0.31988843944702794</c:v>
                </c:pt>
                <c:pt idx="11">
                  <c:v>0.35346031058842692</c:v>
                </c:pt>
                <c:pt idx="12">
                  <c:v>0.38733496953380803</c:v>
                </c:pt>
                <c:pt idx="13">
                  <c:v>0.39860038681455578</c:v>
                </c:pt>
                <c:pt idx="14">
                  <c:v>0.42919787416019134</c:v>
                </c:pt>
                <c:pt idx="15">
                  <c:v>0.4598080034811356</c:v>
                </c:pt>
                <c:pt idx="16">
                  <c:v>0.49043077477738833</c:v>
                </c:pt>
                <c:pt idx="17">
                  <c:v>0.52106618804894966</c:v>
                </c:pt>
                <c:pt idx="18">
                  <c:v>0.55171424329581986</c:v>
                </c:pt>
                <c:pt idx="19">
                  <c:v>0.58237494051799865</c:v>
                </c:pt>
                <c:pt idx="20">
                  <c:v>0.61304827971548592</c:v>
                </c:pt>
                <c:pt idx="21">
                  <c:v>0.64373426088828201</c:v>
                </c:pt>
                <c:pt idx="22">
                  <c:v>0.67443288403638679</c:v>
                </c:pt>
                <c:pt idx="23">
                  <c:v>0.70514414915980006</c:v>
                </c:pt>
                <c:pt idx="24">
                  <c:v>0.73586805625852203</c:v>
                </c:pt>
                <c:pt idx="25">
                  <c:v>0.76660460533255259</c:v>
                </c:pt>
                <c:pt idx="26">
                  <c:v>0.79735379638189197</c:v>
                </c:pt>
                <c:pt idx="27">
                  <c:v>0.82811562940653993</c:v>
                </c:pt>
                <c:pt idx="28">
                  <c:v>0.85889010440649627</c:v>
                </c:pt>
                <c:pt idx="29">
                  <c:v>0.88967722138176164</c:v>
                </c:pt>
                <c:pt idx="30">
                  <c:v>0.92047698033233549</c:v>
                </c:pt>
                <c:pt idx="31">
                  <c:v>0.95128938125821794</c:v>
                </c:pt>
                <c:pt idx="32">
                  <c:v>0.98211442415940886</c:v>
                </c:pt>
                <c:pt idx="33">
                  <c:v>1.0129521090359086</c:v>
                </c:pt>
                <c:pt idx="34">
                  <c:v>1.0438024358877167</c:v>
                </c:pt>
                <c:pt idx="35">
                  <c:v>1.0746654047148338</c:v>
                </c:pt>
                <c:pt idx="36">
                  <c:v>1.1055410155172596</c:v>
                </c:pt>
                <c:pt idx="37">
                  <c:v>1.1364292682949939</c:v>
                </c:pt>
                <c:pt idx="38">
                  <c:v>1.1673301630480371</c:v>
                </c:pt>
                <c:pt idx="39">
                  <c:v>1.1982436997763886</c:v>
                </c:pt>
                <c:pt idx="40">
                  <c:v>1.2291698784800484</c:v>
                </c:pt>
                <c:pt idx="41">
                  <c:v>1.2601086991590176</c:v>
                </c:pt>
                <c:pt idx="42">
                  <c:v>1.2910601618132951</c:v>
                </c:pt>
                <c:pt idx="43">
                  <c:v>1.3220242664428812</c:v>
                </c:pt>
                <c:pt idx="44">
                  <c:v>1.3530010130477761</c:v>
                </c:pt>
                <c:pt idx="45">
                  <c:v>1.3839904016279798</c:v>
                </c:pt>
                <c:pt idx="46">
                  <c:v>1.4149924321834917</c:v>
                </c:pt>
                <c:pt idx="47">
                  <c:v>1.4460071047143124</c:v>
                </c:pt>
                <c:pt idx="48">
                  <c:v>1.4770344192204417</c:v>
                </c:pt>
                <c:pt idx="49">
                  <c:v>1.5080743757018795</c:v>
                </c:pt>
                <c:pt idx="50">
                  <c:v>1.5391269741586262</c:v>
                </c:pt>
                <c:pt idx="51">
                  <c:v>1.5701922145906815</c:v>
                </c:pt>
                <c:pt idx="52">
                  <c:v>1.6012700969980458</c:v>
                </c:pt>
                <c:pt idx="53">
                  <c:v>1.6323606213807182</c:v>
                </c:pt>
                <c:pt idx="54">
                  <c:v>1.6634637877386997</c:v>
                </c:pt>
                <c:pt idx="55">
                  <c:v>1.6945795960719894</c:v>
                </c:pt>
                <c:pt idx="56">
                  <c:v>1.7257080463805878</c:v>
                </c:pt>
                <c:pt idx="57">
                  <c:v>1.7568491386644949</c:v>
                </c:pt>
                <c:pt idx="58">
                  <c:v>1.7880028729237112</c:v>
                </c:pt>
                <c:pt idx="59">
                  <c:v>1.8191692491582354</c:v>
                </c:pt>
                <c:pt idx="60">
                  <c:v>1.8503482673680685</c:v>
                </c:pt>
                <c:pt idx="61">
                  <c:v>1.8815399275532099</c:v>
                </c:pt>
                <c:pt idx="62">
                  <c:v>1.9127442297136605</c:v>
                </c:pt>
                <c:pt idx="63">
                  <c:v>1.9439611738494196</c:v>
                </c:pt>
                <c:pt idx="64">
                  <c:v>1.975190759960487</c:v>
                </c:pt>
                <c:pt idx="65">
                  <c:v>2.0064329880468637</c:v>
                </c:pt>
                <c:pt idx="66">
                  <c:v>2.0376878581085482</c:v>
                </c:pt>
                <c:pt idx="67">
                  <c:v>2.0689553701455417</c:v>
                </c:pt>
                <c:pt idx="68">
                  <c:v>2.1002355241578434</c:v>
                </c:pt>
                <c:pt idx="69">
                  <c:v>2.1315283201454549</c:v>
                </c:pt>
                <c:pt idx="70">
                  <c:v>2.1628337581083739</c:v>
                </c:pt>
                <c:pt idx="71">
                  <c:v>2.1941518380466025</c:v>
                </c:pt>
                <c:pt idx="72">
                  <c:v>2.2254825599601391</c:v>
                </c:pt>
                <c:pt idx="73">
                  <c:v>2.2568259238489841</c:v>
                </c:pt>
                <c:pt idx="74">
                  <c:v>2.2881819297131383</c:v>
                </c:pt>
                <c:pt idx="75">
                  <c:v>2.3195505775526009</c:v>
                </c:pt>
                <c:pt idx="76">
                  <c:v>2.3509318673673727</c:v>
                </c:pt>
                <c:pt idx="77">
                  <c:v>2.3823257991574525</c:v>
                </c:pt>
                <c:pt idx="78">
                  <c:v>2.4137323729228415</c:v>
                </c:pt>
                <c:pt idx="79">
                  <c:v>2.4451515886635389</c:v>
                </c:pt>
                <c:pt idx="80">
                  <c:v>2.4765834463795442</c:v>
                </c:pt>
                <c:pt idx="81">
                  <c:v>2.5080279460708592</c:v>
                </c:pt>
                <c:pt idx="82">
                  <c:v>2.5394850877374822</c:v>
                </c:pt>
                <c:pt idx="83">
                  <c:v>2.5709548713794144</c:v>
                </c:pt>
                <c:pt idx="84">
                  <c:v>2.6024372969966545</c:v>
                </c:pt>
                <c:pt idx="85">
                  <c:v>2.6339323645892034</c:v>
                </c:pt>
                <c:pt idx="86">
                  <c:v>2.6654400741570612</c:v>
                </c:pt>
                <c:pt idx="87">
                  <c:v>2.6969604257002278</c:v>
                </c:pt>
                <c:pt idx="88">
                  <c:v>2.7284934192187031</c:v>
                </c:pt>
                <c:pt idx="89">
                  <c:v>2.7600390547124865</c:v>
                </c:pt>
                <c:pt idx="90">
                  <c:v>2.7915973321815795</c:v>
                </c:pt>
                <c:pt idx="91">
                  <c:v>2.82316825162598</c:v>
                </c:pt>
                <c:pt idx="92">
                  <c:v>2.8547518130456897</c:v>
                </c:pt>
                <c:pt idx="93">
                  <c:v>2.8863480164407069</c:v>
                </c:pt>
                <c:pt idx="94">
                  <c:v>2.9179568618110348</c:v>
                </c:pt>
                <c:pt idx="95">
                  <c:v>2.9495783491566709</c:v>
                </c:pt>
                <c:pt idx="96">
                  <c:v>2.9812124784776142</c:v>
                </c:pt>
                <c:pt idx="97">
                  <c:v>3.0128592497738675</c:v>
                </c:pt>
                <c:pt idx="98">
                  <c:v>3.044518663045428</c:v>
                </c:pt>
                <c:pt idx="99">
                  <c:v>3.0761907182922985</c:v>
                </c:pt>
                <c:pt idx="100">
                  <c:v>3.1078754155144774</c:v>
                </c:pt>
                <c:pt idx="101">
                  <c:v>3.1395727547119647</c:v>
                </c:pt>
                <c:pt idx="102">
                  <c:v>3.1712827358847608</c:v>
                </c:pt>
                <c:pt idx="103">
                  <c:v>3.2030053590328658</c:v>
                </c:pt>
                <c:pt idx="104">
                  <c:v>3.2347406241562791</c:v>
                </c:pt>
                <c:pt idx="105">
                  <c:v>3.2664885312550007</c:v>
                </c:pt>
                <c:pt idx="106">
                  <c:v>3.2982490803290316</c:v>
                </c:pt>
                <c:pt idx="107">
                  <c:v>3.33002227137837</c:v>
                </c:pt>
                <c:pt idx="108">
                  <c:v>3.361808104403019</c:v>
                </c:pt>
                <c:pt idx="109">
                  <c:v>3.3936065794029751</c:v>
                </c:pt>
                <c:pt idx="110">
                  <c:v>3.4254176963782403</c:v>
                </c:pt>
                <c:pt idx="111">
                  <c:v>3.457241455328814</c:v>
                </c:pt>
                <c:pt idx="112">
                  <c:v>3.4890778562546965</c:v>
                </c:pt>
                <c:pt idx="113">
                  <c:v>3.5209268991558873</c:v>
                </c:pt>
                <c:pt idx="114">
                  <c:v>3.5527885840323874</c:v>
                </c:pt>
                <c:pt idx="115">
                  <c:v>3.5846629108841959</c:v>
                </c:pt>
                <c:pt idx="116">
                  <c:v>3.6165498797113136</c:v>
                </c:pt>
                <c:pt idx="117">
                  <c:v>3.6484494905137383</c:v>
                </c:pt>
                <c:pt idx="118">
                  <c:v>3.6803617432914737</c:v>
                </c:pt>
                <c:pt idx="119">
                  <c:v>3.7122866380445152</c:v>
                </c:pt>
                <c:pt idx="120">
                  <c:v>3.7442241747728682</c:v>
                </c:pt>
                <c:pt idx="121">
                  <c:v>3.7761743534765277</c:v>
                </c:pt>
                <c:pt idx="122">
                  <c:v>3.8081371741554966</c:v>
                </c:pt>
                <c:pt idx="123">
                  <c:v>3.8401126368097738</c:v>
                </c:pt>
                <c:pt idx="124">
                  <c:v>3.8721007414393607</c:v>
                </c:pt>
                <c:pt idx="125">
                  <c:v>3.9041014880442542</c:v>
                </c:pt>
                <c:pt idx="126">
                  <c:v>3.9361148766244587</c:v>
                </c:pt>
                <c:pt idx="127">
                  <c:v>3.9681409071799698</c:v>
                </c:pt>
                <c:pt idx="128">
                  <c:v>4.0001795797107915</c:v>
                </c:pt>
                <c:pt idx="129">
                  <c:v>4.0322308942169212</c:v>
                </c:pt>
                <c:pt idx="130">
                  <c:v>4.0642948506983592</c:v>
                </c:pt>
                <c:pt idx="131">
                  <c:v>4.0963714491551055</c:v>
                </c:pt>
                <c:pt idx="132">
                  <c:v>4.1284606895871603</c:v>
                </c:pt>
                <c:pt idx="133">
                  <c:v>4.1605625719945243</c:v>
                </c:pt>
                <c:pt idx="134">
                  <c:v>4.1926770963771975</c:v>
                </c:pt>
                <c:pt idx="135">
                  <c:v>4.2248042627351783</c:v>
                </c:pt>
                <c:pt idx="136">
                  <c:v>4.2569440710684674</c:v>
                </c:pt>
                <c:pt idx="137">
                  <c:v>4.2890965213770667</c:v>
                </c:pt>
                <c:pt idx="138">
                  <c:v>4.3212616136609743</c:v>
                </c:pt>
                <c:pt idx="139">
                  <c:v>4.3534393479201903</c:v>
                </c:pt>
                <c:pt idx="140">
                  <c:v>4.3856297241547137</c:v>
                </c:pt>
                <c:pt idx="141">
                  <c:v>4.4178327423645474</c:v>
                </c:pt>
                <c:pt idx="142">
                  <c:v>4.4500484025496885</c:v>
                </c:pt>
                <c:pt idx="143">
                  <c:v>4.4822767047101388</c:v>
                </c:pt>
                <c:pt idx="144">
                  <c:v>4.5145176488458976</c:v>
                </c:pt>
                <c:pt idx="145">
                  <c:v>4.5467712349569656</c:v>
                </c:pt>
                <c:pt idx="146">
                  <c:v>4.579037463043341</c:v>
                </c:pt>
                <c:pt idx="147">
                  <c:v>4.6113163331050275</c:v>
                </c:pt>
                <c:pt idx="148">
                  <c:v>4.6436078451420197</c:v>
                </c:pt>
                <c:pt idx="149">
                  <c:v>4.675911999154323</c:v>
                </c:pt>
                <c:pt idx="150">
                  <c:v>4.7082287951419328</c:v>
                </c:pt>
              </c:numCache>
            </c:numRef>
          </c:yVal>
          <c:smooth val="1"/>
          <c:extLst>
            <c:ext xmlns:c16="http://schemas.microsoft.com/office/drawing/2014/chart" uri="{C3380CC4-5D6E-409C-BE32-E72D297353CC}">
              <c16:uniqueId val="{00000001-1F7F-4636-A580-34FBFDC03A54}"/>
            </c:ext>
          </c:extLst>
        </c:ser>
        <c:ser>
          <c:idx val="2"/>
          <c:order val="2"/>
          <c:tx>
            <c:v>Diode</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Eff_vs_IOUT!$AN$7:$AN$157</c:f>
              <c:numCache>
                <c:formatCode>General</c:formatCode>
                <c:ptCount val="151"/>
                <c:pt idx="0">
                  <c:v>4.8104000000000005</c:v>
                </c:pt>
                <c:pt idx="1">
                  <c:v>4.8138666666666667</c:v>
                </c:pt>
                <c:pt idx="2">
                  <c:v>4.8173333333333339</c:v>
                </c:pt>
                <c:pt idx="3">
                  <c:v>4.8208000000000002</c:v>
                </c:pt>
                <c:pt idx="4">
                  <c:v>4.8242666666666674</c:v>
                </c:pt>
                <c:pt idx="5">
                  <c:v>4.8277333333333337</c:v>
                </c:pt>
                <c:pt idx="6">
                  <c:v>4.8312000000000008</c:v>
                </c:pt>
                <c:pt idx="7">
                  <c:v>4.8346666666666671</c:v>
                </c:pt>
                <c:pt idx="8">
                  <c:v>4.8381333333333334</c:v>
                </c:pt>
                <c:pt idx="9">
                  <c:v>4.8416000000000006</c:v>
                </c:pt>
                <c:pt idx="10">
                  <c:v>4.8450666666666669</c:v>
                </c:pt>
                <c:pt idx="11">
                  <c:v>4.848533333333334</c:v>
                </c:pt>
                <c:pt idx="12">
                  <c:v>4.8520000000000003</c:v>
                </c:pt>
                <c:pt idx="13">
                  <c:v>4.8554666666666675</c:v>
                </c:pt>
                <c:pt idx="14">
                  <c:v>4.8589333333333338</c:v>
                </c:pt>
                <c:pt idx="15">
                  <c:v>4.8624000000000001</c:v>
                </c:pt>
                <c:pt idx="16">
                  <c:v>4.8658666666666672</c:v>
                </c:pt>
                <c:pt idx="17">
                  <c:v>4.8693333333333335</c:v>
                </c:pt>
                <c:pt idx="18">
                  <c:v>4.8728000000000007</c:v>
                </c:pt>
                <c:pt idx="19">
                  <c:v>4.876266666666667</c:v>
                </c:pt>
                <c:pt idx="20">
                  <c:v>4.8797333333333341</c:v>
                </c:pt>
                <c:pt idx="21">
                  <c:v>4.8832000000000004</c:v>
                </c:pt>
                <c:pt idx="22">
                  <c:v>4.8866666666666667</c:v>
                </c:pt>
                <c:pt idx="23">
                  <c:v>4.8901333333333339</c:v>
                </c:pt>
                <c:pt idx="24">
                  <c:v>4.8936000000000002</c:v>
                </c:pt>
                <c:pt idx="25">
                  <c:v>4.8970666666666673</c:v>
                </c:pt>
                <c:pt idx="26">
                  <c:v>4.9005333333333336</c:v>
                </c:pt>
                <c:pt idx="27">
                  <c:v>4.9040000000000008</c:v>
                </c:pt>
                <c:pt idx="28">
                  <c:v>4.9074666666666671</c:v>
                </c:pt>
                <c:pt idx="29">
                  <c:v>4.9109333333333334</c:v>
                </c:pt>
                <c:pt idx="30">
                  <c:v>4.9144000000000005</c:v>
                </c:pt>
                <c:pt idx="31">
                  <c:v>4.9178666666666668</c:v>
                </c:pt>
                <c:pt idx="32">
                  <c:v>4.921333333333334</c:v>
                </c:pt>
                <c:pt idx="33">
                  <c:v>4.9248000000000003</c:v>
                </c:pt>
                <c:pt idx="34">
                  <c:v>4.9282666666666675</c:v>
                </c:pt>
                <c:pt idx="35">
                  <c:v>4.9317333333333337</c:v>
                </c:pt>
                <c:pt idx="36">
                  <c:v>4.9352</c:v>
                </c:pt>
                <c:pt idx="37">
                  <c:v>4.9386666666666672</c:v>
                </c:pt>
                <c:pt idx="38">
                  <c:v>4.9421333333333335</c:v>
                </c:pt>
                <c:pt idx="39">
                  <c:v>4.9456000000000007</c:v>
                </c:pt>
                <c:pt idx="40">
                  <c:v>4.9490666666666669</c:v>
                </c:pt>
                <c:pt idx="41">
                  <c:v>4.9525333333333341</c:v>
                </c:pt>
                <c:pt idx="42">
                  <c:v>4.9560000000000004</c:v>
                </c:pt>
                <c:pt idx="43">
                  <c:v>4.9594666666666676</c:v>
                </c:pt>
                <c:pt idx="44">
                  <c:v>4.9629333333333339</c:v>
                </c:pt>
                <c:pt idx="45">
                  <c:v>4.9664000000000001</c:v>
                </c:pt>
                <c:pt idx="46">
                  <c:v>4.9698666666666673</c:v>
                </c:pt>
                <c:pt idx="47">
                  <c:v>4.9733333333333336</c:v>
                </c:pt>
                <c:pt idx="48">
                  <c:v>4.9768000000000008</c:v>
                </c:pt>
                <c:pt idx="49">
                  <c:v>4.9802666666666671</c:v>
                </c:pt>
                <c:pt idx="50">
                  <c:v>4.9837333333333342</c:v>
                </c:pt>
                <c:pt idx="51">
                  <c:v>4.9872000000000005</c:v>
                </c:pt>
                <c:pt idx="52">
                  <c:v>4.9906666666666668</c:v>
                </c:pt>
                <c:pt idx="53">
                  <c:v>4.994133333333334</c:v>
                </c:pt>
                <c:pt idx="54">
                  <c:v>4.9976000000000003</c:v>
                </c:pt>
                <c:pt idx="55">
                  <c:v>5.0010666666666674</c:v>
                </c:pt>
                <c:pt idx="56">
                  <c:v>5.0045333333333337</c:v>
                </c:pt>
                <c:pt idx="57">
                  <c:v>5.0080000000000009</c:v>
                </c:pt>
                <c:pt idx="58">
                  <c:v>5.0114666666666672</c:v>
                </c:pt>
                <c:pt idx="59">
                  <c:v>5.0149333333333335</c:v>
                </c:pt>
                <c:pt idx="60">
                  <c:v>5.0184000000000006</c:v>
                </c:pt>
                <c:pt idx="61">
                  <c:v>5.0218666666666669</c:v>
                </c:pt>
                <c:pt idx="62">
                  <c:v>5.0253333333333341</c:v>
                </c:pt>
                <c:pt idx="63">
                  <c:v>5.0288000000000004</c:v>
                </c:pt>
                <c:pt idx="64">
                  <c:v>5.0322666666666676</c:v>
                </c:pt>
                <c:pt idx="65">
                  <c:v>5.0357333333333338</c:v>
                </c:pt>
                <c:pt idx="66">
                  <c:v>5.0392000000000001</c:v>
                </c:pt>
                <c:pt idx="67">
                  <c:v>5.0426666666666673</c:v>
                </c:pt>
                <c:pt idx="68">
                  <c:v>5.0461333333333336</c:v>
                </c:pt>
                <c:pt idx="69">
                  <c:v>5.0496000000000008</c:v>
                </c:pt>
                <c:pt idx="70">
                  <c:v>5.053066666666667</c:v>
                </c:pt>
                <c:pt idx="71">
                  <c:v>5.0565333333333342</c:v>
                </c:pt>
                <c:pt idx="72">
                  <c:v>5.0600000000000005</c:v>
                </c:pt>
                <c:pt idx="73">
                  <c:v>5.0634666666666668</c:v>
                </c:pt>
                <c:pt idx="74">
                  <c:v>5.066933333333334</c:v>
                </c:pt>
                <c:pt idx="75">
                  <c:v>5.0704000000000002</c:v>
                </c:pt>
                <c:pt idx="76">
                  <c:v>5.0738666666666674</c:v>
                </c:pt>
                <c:pt idx="77">
                  <c:v>5.0773333333333337</c:v>
                </c:pt>
                <c:pt idx="78">
                  <c:v>5.0808000000000009</c:v>
                </c:pt>
                <c:pt idx="79">
                  <c:v>5.0842666666666672</c:v>
                </c:pt>
                <c:pt idx="80">
                  <c:v>5.0877333333333334</c:v>
                </c:pt>
                <c:pt idx="81">
                  <c:v>5.0912000000000006</c:v>
                </c:pt>
                <c:pt idx="82">
                  <c:v>5.0946666666666669</c:v>
                </c:pt>
                <c:pt idx="83">
                  <c:v>5.0981333333333341</c:v>
                </c:pt>
                <c:pt idx="84">
                  <c:v>5.1016000000000004</c:v>
                </c:pt>
                <c:pt idx="85">
                  <c:v>5.1050666666666675</c:v>
                </c:pt>
                <c:pt idx="86">
                  <c:v>5.1085333333333338</c:v>
                </c:pt>
                <c:pt idx="87">
                  <c:v>5.1120000000000001</c:v>
                </c:pt>
                <c:pt idx="88">
                  <c:v>5.1154666666666673</c:v>
                </c:pt>
                <c:pt idx="89">
                  <c:v>5.1189333333333336</c:v>
                </c:pt>
                <c:pt idx="90">
                  <c:v>5.1224000000000007</c:v>
                </c:pt>
                <c:pt idx="91">
                  <c:v>5.125866666666667</c:v>
                </c:pt>
                <c:pt idx="92">
                  <c:v>5.1293333333333342</c:v>
                </c:pt>
                <c:pt idx="93">
                  <c:v>5.1328000000000005</c:v>
                </c:pt>
                <c:pt idx="94">
                  <c:v>5.1362666666666668</c:v>
                </c:pt>
                <c:pt idx="95">
                  <c:v>5.1397333333333339</c:v>
                </c:pt>
                <c:pt idx="96">
                  <c:v>5.1432000000000002</c:v>
                </c:pt>
                <c:pt idx="97">
                  <c:v>5.1466666666666674</c:v>
                </c:pt>
                <c:pt idx="98">
                  <c:v>5.1501333333333337</c:v>
                </c:pt>
                <c:pt idx="99">
                  <c:v>5.1536000000000008</c:v>
                </c:pt>
                <c:pt idx="100">
                  <c:v>5.1570666666666671</c:v>
                </c:pt>
                <c:pt idx="101">
                  <c:v>5.1605333333333334</c:v>
                </c:pt>
                <c:pt idx="102">
                  <c:v>5.1640000000000006</c:v>
                </c:pt>
                <c:pt idx="103">
                  <c:v>5.1674666666666669</c:v>
                </c:pt>
                <c:pt idx="104">
                  <c:v>5.170933333333334</c:v>
                </c:pt>
                <c:pt idx="105">
                  <c:v>5.1744000000000003</c:v>
                </c:pt>
                <c:pt idx="106">
                  <c:v>5.1778666666666675</c:v>
                </c:pt>
                <c:pt idx="107">
                  <c:v>5.1813333333333338</c:v>
                </c:pt>
                <c:pt idx="108">
                  <c:v>5.184800000000001</c:v>
                </c:pt>
                <c:pt idx="109">
                  <c:v>5.1882666666666672</c:v>
                </c:pt>
                <c:pt idx="110">
                  <c:v>5.1917333333333335</c:v>
                </c:pt>
                <c:pt idx="111">
                  <c:v>5.1952000000000007</c:v>
                </c:pt>
                <c:pt idx="112">
                  <c:v>5.198666666666667</c:v>
                </c:pt>
                <c:pt idx="113">
                  <c:v>5.2021333333333342</c:v>
                </c:pt>
                <c:pt idx="114">
                  <c:v>5.2056000000000004</c:v>
                </c:pt>
                <c:pt idx="115">
                  <c:v>5.2090666666666667</c:v>
                </c:pt>
                <c:pt idx="116">
                  <c:v>5.2125333333333339</c:v>
                </c:pt>
                <c:pt idx="117">
                  <c:v>5.2160000000000002</c:v>
                </c:pt>
                <c:pt idx="118">
                  <c:v>5.2194666666666674</c:v>
                </c:pt>
                <c:pt idx="119">
                  <c:v>5.2229333333333336</c:v>
                </c:pt>
                <c:pt idx="120">
                  <c:v>5.2264000000000008</c:v>
                </c:pt>
                <c:pt idx="121">
                  <c:v>5.2298666666666671</c:v>
                </c:pt>
                <c:pt idx="122">
                  <c:v>5.2333333333333343</c:v>
                </c:pt>
                <c:pt idx="123">
                  <c:v>5.2368000000000006</c:v>
                </c:pt>
                <c:pt idx="124">
                  <c:v>5.2402666666666669</c:v>
                </c:pt>
                <c:pt idx="125">
                  <c:v>5.243733333333334</c:v>
                </c:pt>
                <c:pt idx="126">
                  <c:v>5.2472000000000003</c:v>
                </c:pt>
                <c:pt idx="127">
                  <c:v>5.2506666666666675</c:v>
                </c:pt>
                <c:pt idx="128">
                  <c:v>5.2541333333333338</c:v>
                </c:pt>
                <c:pt idx="129">
                  <c:v>5.2576000000000001</c:v>
                </c:pt>
                <c:pt idx="130">
                  <c:v>5.2610666666666672</c:v>
                </c:pt>
                <c:pt idx="131">
                  <c:v>5.2645333333333335</c:v>
                </c:pt>
                <c:pt idx="132">
                  <c:v>5.2680000000000007</c:v>
                </c:pt>
                <c:pt idx="133">
                  <c:v>5.271466666666667</c:v>
                </c:pt>
                <c:pt idx="134">
                  <c:v>5.2749333333333341</c:v>
                </c:pt>
                <c:pt idx="135">
                  <c:v>5.2784000000000004</c:v>
                </c:pt>
                <c:pt idx="136">
                  <c:v>5.2818666666666676</c:v>
                </c:pt>
                <c:pt idx="137">
                  <c:v>5.2853333333333339</c:v>
                </c:pt>
                <c:pt idx="138">
                  <c:v>5.2888000000000002</c:v>
                </c:pt>
                <c:pt idx="139">
                  <c:v>5.2922666666666673</c:v>
                </c:pt>
                <c:pt idx="140">
                  <c:v>5.2957333333333336</c:v>
                </c:pt>
                <c:pt idx="141">
                  <c:v>5.2992000000000008</c:v>
                </c:pt>
                <c:pt idx="142">
                  <c:v>5.3026666666666671</c:v>
                </c:pt>
                <c:pt idx="143">
                  <c:v>5.3061333333333334</c:v>
                </c:pt>
                <c:pt idx="144">
                  <c:v>5.3096000000000005</c:v>
                </c:pt>
                <c:pt idx="145">
                  <c:v>5.3130666666666668</c:v>
                </c:pt>
                <c:pt idx="146">
                  <c:v>5.316533333333334</c:v>
                </c:pt>
                <c:pt idx="147">
                  <c:v>5.32</c:v>
                </c:pt>
                <c:pt idx="148">
                  <c:v>5.3234666666666675</c:v>
                </c:pt>
                <c:pt idx="149">
                  <c:v>5.3269333333333337</c:v>
                </c:pt>
                <c:pt idx="150">
                  <c:v>5.3304000000000009</c:v>
                </c:pt>
              </c:numCache>
            </c:numRef>
          </c:yVal>
          <c:smooth val="1"/>
          <c:extLst>
            <c:ext xmlns:c16="http://schemas.microsoft.com/office/drawing/2014/chart" uri="{C3380CC4-5D6E-409C-BE32-E72D297353CC}">
              <c16:uniqueId val="{00000002-1F7F-4636-A580-34FBFDC03A54}"/>
            </c:ext>
          </c:extLst>
        </c:ser>
        <c:ser>
          <c:idx val="3"/>
          <c:order val="3"/>
          <c:tx>
            <c:v>RCS</c:v>
          </c:tx>
          <c:marker>
            <c:symbol val="none"/>
          </c:marker>
          <c:xVal>
            <c:numRef>
              <c:f>Eff_vs_IOUT!$S$7:$S$157</c:f>
              <c:numCache>
                <c:formatCode>General</c:formatCode>
                <c:ptCount val="151"/>
                <c:pt idx="0">
                  <c:v>0</c:v>
                </c:pt>
                <c:pt idx="1">
                  <c:v>5.3333333333333337E-2</c:v>
                </c:pt>
                <c:pt idx="2">
                  <c:v>0.10666666666666667</c:v>
                </c:pt>
                <c:pt idx="3">
                  <c:v>0.16</c:v>
                </c:pt>
                <c:pt idx="4">
                  <c:v>0.21333333333333335</c:v>
                </c:pt>
                <c:pt idx="5">
                  <c:v>0.26666666666666666</c:v>
                </c:pt>
                <c:pt idx="6">
                  <c:v>0.32</c:v>
                </c:pt>
                <c:pt idx="7">
                  <c:v>0.37333333333333335</c:v>
                </c:pt>
                <c:pt idx="8">
                  <c:v>0.42666666666666669</c:v>
                </c:pt>
                <c:pt idx="9">
                  <c:v>0.48000000000000004</c:v>
                </c:pt>
                <c:pt idx="10">
                  <c:v>0.53333333333333333</c:v>
                </c:pt>
                <c:pt idx="11">
                  <c:v>0.58666666666666667</c:v>
                </c:pt>
                <c:pt idx="12">
                  <c:v>0.64</c:v>
                </c:pt>
                <c:pt idx="13">
                  <c:v>0.69333333333333336</c:v>
                </c:pt>
                <c:pt idx="14">
                  <c:v>0.7466666666666667</c:v>
                </c:pt>
                <c:pt idx="15">
                  <c:v>0.8</c:v>
                </c:pt>
                <c:pt idx="16">
                  <c:v>0.85333333333333339</c:v>
                </c:pt>
                <c:pt idx="17">
                  <c:v>0.90666666666666673</c:v>
                </c:pt>
                <c:pt idx="18">
                  <c:v>0.96000000000000008</c:v>
                </c:pt>
                <c:pt idx="19">
                  <c:v>1.0133333333333334</c:v>
                </c:pt>
                <c:pt idx="20">
                  <c:v>1.0666666666666667</c:v>
                </c:pt>
                <c:pt idx="21">
                  <c:v>1.1200000000000001</c:v>
                </c:pt>
                <c:pt idx="22">
                  <c:v>1.1733333333333333</c:v>
                </c:pt>
                <c:pt idx="23">
                  <c:v>1.2266666666666668</c:v>
                </c:pt>
                <c:pt idx="24">
                  <c:v>1.28</c:v>
                </c:pt>
                <c:pt idx="25">
                  <c:v>1.3333333333333335</c:v>
                </c:pt>
                <c:pt idx="26">
                  <c:v>1.3866666666666667</c:v>
                </c:pt>
                <c:pt idx="27">
                  <c:v>1.4400000000000002</c:v>
                </c:pt>
                <c:pt idx="28">
                  <c:v>1.4933333333333334</c:v>
                </c:pt>
                <c:pt idx="29">
                  <c:v>1.5466666666666669</c:v>
                </c:pt>
                <c:pt idx="30">
                  <c:v>1.6</c:v>
                </c:pt>
                <c:pt idx="31">
                  <c:v>1.6533333333333335</c:v>
                </c:pt>
                <c:pt idx="32">
                  <c:v>1.7066666666666668</c:v>
                </c:pt>
                <c:pt idx="33">
                  <c:v>1.76</c:v>
                </c:pt>
                <c:pt idx="34">
                  <c:v>1.8133333333333335</c:v>
                </c:pt>
                <c:pt idx="35">
                  <c:v>1.8666666666666667</c:v>
                </c:pt>
                <c:pt idx="36">
                  <c:v>1.9200000000000002</c:v>
                </c:pt>
                <c:pt idx="37">
                  <c:v>1.9733333333333334</c:v>
                </c:pt>
                <c:pt idx="38">
                  <c:v>2.0266666666666668</c:v>
                </c:pt>
                <c:pt idx="39">
                  <c:v>2.08</c:v>
                </c:pt>
                <c:pt idx="40">
                  <c:v>2.1333333333333333</c:v>
                </c:pt>
                <c:pt idx="41">
                  <c:v>2.186666666666667</c:v>
                </c:pt>
                <c:pt idx="42">
                  <c:v>2.2400000000000002</c:v>
                </c:pt>
                <c:pt idx="43">
                  <c:v>2.2933333333333334</c:v>
                </c:pt>
                <c:pt idx="44">
                  <c:v>2.3466666666666667</c:v>
                </c:pt>
                <c:pt idx="45">
                  <c:v>2.4000000000000004</c:v>
                </c:pt>
                <c:pt idx="46">
                  <c:v>2.4533333333333336</c:v>
                </c:pt>
                <c:pt idx="47">
                  <c:v>2.5066666666666668</c:v>
                </c:pt>
                <c:pt idx="48">
                  <c:v>2.56</c:v>
                </c:pt>
                <c:pt idx="49">
                  <c:v>2.6133333333333333</c:v>
                </c:pt>
                <c:pt idx="50">
                  <c:v>2.666666666666667</c:v>
                </c:pt>
                <c:pt idx="51">
                  <c:v>2.72</c:v>
                </c:pt>
                <c:pt idx="52">
                  <c:v>2.7733333333333334</c:v>
                </c:pt>
                <c:pt idx="53">
                  <c:v>2.8266666666666667</c:v>
                </c:pt>
                <c:pt idx="54">
                  <c:v>2.8800000000000003</c:v>
                </c:pt>
                <c:pt idx="55">
                  <c:v>2.9333333333333336</c:v>
                </c:pt>
                <c:pt idx="56">
                  <c:v>2.9866666666666668</c:v>
                </c:pt>
                <c:pt idx="57">
                  <c:v>3.04</c:v>
                </c:pt>
                <c:pt idx="58">
                  <c:v>3.0933333333333337</c:v>
                </c:pt>
                <c:pt idx="59">
                  <c:v>3.1466666666666669</c:v>
                </c:pt>
                <c:pt idx="60">
                  <c:v>3.2</c:v>
                </c:pt>
                <c:pt idx="61">
                  <c:v>3.2533333333333334</c:v>
                </c:pt>
                <c:pt idx="62">
                  <c:v>3.3066666666666671</c:v>
                </c:pt>
                <c:pt idx="63">
                  <c:v>3.3600000000000003</c:v>
                </c:pt>
                <c:pt idx="64">
                  <c:v>3.4133333333333336</c:v>
                </c:pt>
                <c:pt idx="65">
                  <c:v>3.4666666666666668</c:v>
                </c:pt>
                <c:pt idx="66">
                  <c:v>3.52</c:v>
                </c:pt>
                <c:pt idx="67">
                  <c:v>3.5733333333333337</c:v>
                </c:pt>
                <c:pt idx="68">
                  <c:v>3.6266666666666669</c:v>
                </c:pt>
                <c:pt idx="69">
                  <c:v>3.68</c:v>
                </c:pt>
                <c:pt idx="70">
                  <c:v>3.7333333333333334</c:v>
                </c:pt>
                <c:pt idx="71">
                  <c:v>3.7866666666666671</c:v>
                </c:pt>
                <c:pt idx="72">
                  <c:v>3.8400000000000003</c:v>
                </c:pt>
                <c:pt idx="73">
                  <c:v>3.8933333333333335</c:v>
                </c:pt>
                <c:pt idx="74">
                  <c:v>3.9466666666666668</c:v>
                </c:pt>
                <c:pt idx="75">
                  <c:v>4</c:v>
                </c:pt>
                <c:pt idx="76">
                  <c:v>4.0533333333333337</c:v>
                </c:pt>
                <c:pt idx="77">
                  <c:v>4.1066666666666674</c:v>
                </c:pt>
                <c:pt idx="78">
                  <c:v>4.16</c:v>
                </c:pt>
                <c:pt idx="79">
                  <c:v>4.2133333333333338</c:v>
                </c:pt>
                <c:pt idx="80">
                  <c:v>4.2666666666666666</c:v>
                </c:pt>
                <c:pt idx="81">
                  <c:v>4.32</c:v>
                </c:pt>
                <c:pt idx="82">
                  <c:v>4.373333333333334</c:v>
                </c:pt>
                <c:pt idx="83">
                  <c:v>4.4266666666666667</c:v>
                </c:pt>
                <c:pt idx="84">
                  <c:v>4.4800000000000004</c:v>
                </c:pt>
                <c:pt idx="85">
                  <c:v>4.5333333333333332</c:v>
                </c:pt>
                <c:pt idx="86">
                  <c:v>4.5866666666666669</c:v>
                </c:pt>
                <c:pt idx="87">
                  <c:v>4.6400000000000006</c:v>
                </c:pt>
                <c:pt idx="88">
                  <c:v>4.6933333333333334</c:v>
                </c:pt>
                <c:pt idx="89">
                  <c:v>4.746666666666667</c:v>
                </c:pt>
                <c:pt idx="90">
                  <c:v>4.8000000000000007</c:v>
                </c:pt>
                <c:pt idx="91">
                  <c:v>4.8533333333333335</c:v>
                </c:pt>
                <c:pt idx="92">
                  <c:v>4.9066666666666672</c:v>
                </c:pt>
                <c:pt idx="93">
                  <c:v>4.96</c:v>
                </c:pt>
                <c:pt idx="94">
                  <c:v>5.0133333333333336</c:v>
                </c:pt>
                <c:pt idx="95">
                  <c:v>5.0666666666666673</c:v>
                </c:pt>
                <c:pt idx="96">
                  <c:v>5.12</c:v>
                </c:pt>
                <c:pt idx="97">
                  <c:v>5.1733333333333338</c:v>
                </c:pt>
                <c:pt idx="98">
                  <c:v>5.2266666666666666</c:v>
                </c:pt>
                <c:pt idx="99">
                  <c:v>5.28</c:v>
                </c:pt>
                <c:pt idx="100">
                  <c:v>5.3333333333333339</c:v>
                </c:pt>
                <c:pt idx="101">
                  <c:v>5.3866666666666667</c:v>
                </c:pt>
                <c:pt idx="102">
                  <c:v>5.44</c:v>
                </c:pt>
                <c:pt idx="103">
                  <c:v>5.4933333333333341</c:v>
                </c:pt>
                <c:pt idx="104">
                  <c:v>5.5466666666666669</c:v>
                </c:pt>
                <c:pt idx="105">
                  <c:v>5.6000000000000005</c:v>
                </c:pt>
                <c:pt idx="106">
                  <c:v>5.6533333333333333</c:v>
                </c:pt>
                <c:pt idx="107">
                  <c:v>5.706666666666667</c:v>
                </c:pt>
                <c:pt idx="108">
                  <c:v>5.7600000000000007</c:v>
                </c:pt>
                <c:pt idx="109">
                  <c:v>5.8133333333333335</c:v>
                </c:pt>
                <c:pt idx="110">
                  <c:v>5.8666666666666671</c:v>
                </c:pt>
                <c:pt idx="111">
                  <c:v>5.9200000000000008</c:v>
                </c:pt>
                <c:pt idx="112">
                  <c:v>5.9733333333333336</c:v>
                </c:pt>
                <c:pt idx="113">
                  <c:v>6.0266666666666673</c:v>
                </c:pt>
                <c:pt idx="114">
                  <c:v>6.08</c:v>
                </c:pt>
                <c:pt idx="115">
                  <c:v>6.1333333333333337</c:v>
                </c:pt>
                <c:pt idx="116">
                  <c:v>6.1866666666666674</c:v>
                </c:pt>
                <c:pt idx="117">
                  <c:v>6.24</c:v>
                </c:pt>
                <c:pt idx="118">
                  <c:v>6.2933333333333339</c:v>
                </c:pt>
                <c:pt idx="119">
                  <c:v>6.3466666666666667</c:v>
                </c:pt>
                <c:pt idx="120">
                  <c:v>6.4</c:v>
                </c:pt>
                <c:pt idx="121">
                  <c:v>6.453333333333334</c:v>
                </c:pt>
                <c:pt idx="122">
                  <c:v>6.5066666666666668</c:v>
                </c:pt>
                <c:pt idx="123">
                  <c:v>6.5600000000000005</c:v>
                </c:pt>
                <c:pt idx="124">
                  <c:v>6.6133333333333342</c:v>
                </c:pt>
                <c:pt idx="125">
                  <c:v>6.666666666666667</c:v>
                </c:pt>
                <c:pt idx="126">
                  <c:v>6.7200000000000006</c:v>
                </c:pt>
                <c:pt idx="127">
                  <c:v>6.7733333333333334</c:v>
                </c:pt>
                <c:pt idx="128">
                  <c:v>6.8266666666666671</c:v>
                </c:pt>
                <c:pt idx="129">
                  <c:v>6.8800000000000008</c:v>
                </c:pt>
                <c:pt idx="130">
                  <c:v>6.9333333333333336</c:v>
                </c:pt>
                <c:pt idx="131">
                  <c:v>6.9866666666666672</c:v>
                </c:pt>
                <c:pt idx="132">
                  <c:v>7.04</c:v>
                </c:pt>
                <c:pt idx="133">
                  <c:v>7.0933333333333337</c:v>
                </c:pt>
                <c:pt idx="134">
                  <c:v>7.1466666666666674</c:v>
                </c:pt>
                <c:pt idx="135">
                  <c:v>7.2</c:v>
                </c:pt>
                <c:pt idx="136">
                  <c:v>7.2533333333333339</c:v>
                </c:pt>
                <c:pt idx="137">
                  <c:v>7.3066666666666675</c:v>
                </c:pt>
                <c:pt idx="138">
                  <c:v>7.36</c:v>
                </c:pt>
                <c:pt idx="139">
                  <c:v>7.413333333333334</c:v>
                </c:pt>
                <c:pt idx="140">
                  <c:v>7.4666666666666668</c:v>
                </c:pt>
                <c:pt idx="141">
                  <c:v>7.5200000000000005</c:v>
                </c:pt>
                <c:pt idx="142">
                  <c:v>7.5733333333333341</c:v>
                </c:pt>
                <c:pt idx="143">
                  <c:v>7.6266666666666669</c:v>
                </c:pt>
                <c:pt idx="144">
                  <c:v>7.6800000000000006</c:v>
                </c:pt>
                <c:pt idx="145">
                  <c:v>7.7333333333333334</c:v>
                </c:pt>
                <c:pt idx="146">
                  <c:v>7.7866666666666671</c:v>
                </c:pt>
                <c:pt idx="147">
                  <c:v>7.8400000000000007</c:v>
                </c:pt>
                <c:pt idx="148">
                  <c:v>7.8933333333333335</c:v>
                </c:pt>
                <c:pt idx="149">
                  <c:v>7.9466666666666672</c:v>
                </c:pt>
                <c:pt idx="150">
                  <c:v>8</c:v>
                </c:pt>
              </c:numCache>
            </c:numRef>
          </c:xVal>
          <c:yVal>
            <c:numRef>
              <c:f>Eff_vs_IOUT!$AO$7:$AO$157</c:f>
              <c:numCache>
                <c:formatCode>General</c:formatCode>
                <c:ptCount val="151"/>
                <c:pt idx="0">
                  <c:v>0</c:v>
                </c:pt>
                <c:pt idx="1">
                  <c:v>2.0928173392742363E-4</c:v>
                </c:pt>
                <c:pt idx="2">
                  <c:v>6.7616336257839008E-4</c:v>
                </c:pt>
                <c:pt idx="3">
                  <c:v>1.3702106827219375E-3</c:v>
                </c:pt>
                <c:pt idx="4">
                  <c:v>2.2857106978659376E-3</c:v>
                </c:pt>
                <c:pt idx="5">
                  <c:v>3.4220890235619125E-3</c:v>
                </c:pt>
                <c:pt idx="6">
                  <c:v>4.7808266162086641E-3</c:v>
                </c:pt>
                <c:pt idx="7">
                  <c:v>6.3644142809819856E-3</c:v>
                </c:pt>
                <c:pt idx="8">
                  <c:v>8.1758951615785256E-3</c:v>
                </c:pt>
                <c:pt idx="9">
                  <c:v>1.0218633480396817E-2</c:v>
                </c:pt>
                <c:pt idx="10">
                  <c:v>1.2496186125871394E-2</c:v>
                </c:pt>
                <c:pt idx="11">
                  <c:v>1.5012226495815432E-2</c:v>
                </c:pt>
                <c:pt idx="12">
                  <c:v>1.7770497108945248E-2</c:v>
                </c:pt>
                <c:pt idx="13">
                  <c:v>2.4413743903683302E-3</c:v>
                </c:pt>
                <c:pt idx="14">
                  <c:v>2.5779077237016636E-3</c:v>
                </c:pt>
                <c:pt idx="15">
                  <c:v>2.724554637281911E-3</c:v>
                </c:pt>
                <c:pt idx="16">
                  <c:v>2.8813151311090713E-3</c:v>
                </c:pt>
                <c:pt idx="17">
                  <c:v>3.0481892051831454E-3</c:v>
                </c:pt>
                <c:pt idx="18">
                  <c:v>3.2251768595041325E-3</c:v>
                </c:pt>
                <c:pt idx="19">
                  <c:v>3.4122780940720335E-3</c:v>
                </c:pt>
                <c:pt idx="20">
                  <c:v>3.6094929088868488E-3</c:v>
                </c:pt>
                <c:pt idx="21">
                  <c:v>3.8168213039485774E-3</c:v>
                </c:pt>
                <c:pt idx="22">
                  <c:v>4.0342632792572195E-3</c:v>
                </c:pt>
                <c:pt idx="23">
                  <c:v>4.2618188348127741E-3</c:v>
                </c:pt>
                <c:pt idx="24">
                  <c:v>4.4994879706152435E-3</c:v>
                </c:pt>
                <c:pt idx="25">
                  <c:v>4.7472706866646258E-3</c:v>
                </c:pt>
                <c:pt idx="26">
                  <c:v>5.0051669829609229E-3</c:v>
                </c:pt>
                <c:pt idx="27">
                  <c:v>5.2731768595041329E-3</c:v>
                </c:pt>
                <c:pt idx="28">
                  <c:v>5.5513003162942567E-3</c:v>
                </c:pt>
                <c:pt idx="29">
                  <c:v>5.8395373533312936E-3</c:v>
                </c:pt>
                <c:pt idx="30">
                  <c:v>6.137887970615246E-3</c:v>
                </c:pt>
                <c:pt idx="31">
                  <c:v>6.4463521681461097E-3</c:v>
                </c:pt>
                <c:pt idx="32">
                  <c:v>6.7649299459238855E-3</c:v>
                </c:pt>
                <c:pt idx="33">
                  <c:v>7.093621303948576E-3</c:v>
                </c:pt>
                <c:pt idx="34">
                  <c:v>7.4324262422201821E-3</c:v>
                </c:pt>
                <c:pt idx="35">
                  <c:v>7.7813447607387011E-3</c:v>
                </c:pt>
                <c:pt idx="36">
                  <c:v>8.1403768595041358E-3</c:v>
                </c:pt>
                <c:pt idx="37">
                  <c:v>8.5095225385164782E-3</c:v>
                </c:pt>
                <c:pt idx="38">
                  <c:v>8.8887817977757379E-3</c:v>
                </c:pt>
                <c:pt idx="39">
                  <c:v>9.2781546372819115E-3</c:v>
                </c:pt>
                <c:pt idx="40">
                  <c:v>9.677641057034999E-3</c:v>
                </c:pt>
                <c:pt idx="41">
                  <c:v>1.0087241057034999E-2</c:v>
                </c:pt>
                <c:pt idx="42">
                  <c:v>1.0506954637281912E-2</c:v>
                </c:pt>
                <c:pt idx="43">
                  <c:v>1.0936781797775739E-2</c:v>
                </c:pt>
                <c:pt idx="44">
                  <c:v>1.1376722538516479E-2</c:v>
                </c:pt>
                <c:pt idx="45">
                  <c:v>1.1826776859504135E-2</c:v>
                </c:pt>
                <c:pt idx="46">
                  <c:v>1.2286944760738704E-2</c:v>
                </c:pt>
                <c:pt idx="47">
                  <c:v>1.2757226242220183E-2</c:v>
                </c:pt>
                <c:pt idx="48">
                  <c:v>1.3237621303948576E-2</c:v>
                </c:pt>
                <c:pt idx="49">
                  <c:v>1.3728129945923885E-2</c:v>
                </c:pt>
                <c:pt idx="50">
                  <c:v>1.4228752168146107E-2</c:v>
                </c:pt>
                <c:pt idx="51">
                  <c:v>1.4739487970615245E-2</c:v>
                </c:pt>
                <c:pt idx="52">
                  <c:v>1.5260337353331294E-2</c:v>
                </c:pt>
                <c:pt idx="53">
                  <c:v>1.5791300316294256E-2</c:v>
                </c:pt>
                <c:pt idx="54">
                  <c:v>1.6332376859504134E-2</c:v>
                </c:pt>
                <c:pt idx="55">
                  <c:v>1.6883566982960931E-2</c:v>
                </c:pt>
                <c:pt idx="56">
                  <c:v>1.7444870686664633E-2</c:v>
                </c:pt>
                <c:pt idx="57">
                  <c:v>1.801628797061525E-2</c:v>
                </c:pt>
                <c:pt idx="58">
                  <c:v>1.859781883481278E-2</c:v>
                </c:pt>
                <c:pt idx="59">
                  <c:v>1.9189463279257225E-2</c:v>
                </c:pt>
                <c:pt idx="60">
                  <c:v>1.9791221303948586E-2</c:v>
                </c:pt>
                <c:pt idx="61">
                  <c:v>2.0403092908886845E-2</c:v>
                </c:pt>
                <c:pt idx="62">
                  <c:v>2.1025078094072041E-2</c:v>
                </c:pt>
                <c:pt idx="63">
                  <c:v>2.1657176859504135E-2</c:v>
                </c:pt>
                <c:pt idx="64">
                  <c:v>2.2299389205183144E-2</c:v>
                </c:pt>
                <c:pt idx="65">
                  <c:v>2.2951715131109079E-2</c:v>
                </c:pt>
                <c:pt idx="66">
                  <c:v>2.361415463728191E-2</c:v>
                </c:pt>
                <c:pt idx="67">
                  <c:v>2.4286707723701676E-2</c:v>
                </c:pt>
                <c:pt idx="68">
                  <c:v>2.4969374390368337E-2</c:v>
                </c:pt>
                <c:pt idx="69">
                  <c:v>2.5662154637281918E-2</c:v>
                </c:pt>
                <c:pt idx="70">
                  <c:v>2.6365048464442407E-2</c:v>
                </c:pt>
                <c:pt idx="71">
                  <c:v>2.7078055871849818E-2</c:v>
                </c:pt>
                <c:pt idx="72">
                  <c:v>2.7801176859504149E-2</c:v>
                </c:pt>
                <c:pt idx="73">
                  <c:v>2.8534411427405364E-2</c:v>
                </c:pt>
                <c:pt idx="74">
                  <c:v>2.9277759575553518E-2</c:v>
                </c:pt>
                <c:pt idx="75">
                  <c:v>3.0031221303948575E-2</c:v>
                </c:pt>
                <c:pt idx="76">
                  <c:v>3.0794796612590557E-2</c:v>
                </c:pt>
                <c:pt idx="77">
                  <c:v>3.1568485501479455E-2</c:v>
                </c:pt>
                <c:pt idx="78">
                  <c:v>3.2352287970615241E-2</c:v>
                </c:pt>
                <c:pt idx="79">
                  <c:v>3.3146204019997967E-2</c:v>
                </c:pt>
                <c:pt idx="80">
                  <c:v>3.3950233649627591E-2</c:v>
                </c:pt>
                <c:pt idx="81">
                  <c:v>3.4764376859504148E-2</c:v>
                </c:pt>
                <c:pt idx="82">
                  <c:v>3.5588633649627589E-2</c:v>
                </c:pt>
                <c:pt idx="83">
                  <c:v>3.642300401999797E-2</c:v>
                </c:pt>
                <c:pt idx="84">
                  <c:v>3.726748797061525E-2</c:v>
                </c:pt>
                <c:pt idx="85">
                  <c:v>3.8122085501479441E-2</c:v>
                </c:pt>
                <c:pt idx="86">
                  <c:v>3.8986796612590566E-2</c:v>
                </c:pt>
                <c:pt idx="87">
                  <c:v>3.9861621303948588E-2</c:v>
                </c:pt>
                <c:pt idx="88">
                  <c:v>4.0746559575553516E-2</c:v>
                </c:pt>
                <c:pt idx="89">
                  <c:v>4.1641611427405391E-2</c:v>
                </c:pt>
                <c:pt idx="90">
                  <c:v>4.254677685950415E-2</c:v>
                </c:pt>
                <c:pt idx="91">
                  <c:v>4.3462055871849814E-2</c:v>
                </c:pt>
                <c:pt idx="92">
                  <c:v>4.4387448464442425E-2</c:v>
                </c:pt>
                <c:pt idx="93">
                  <c:v>4.532295463728192E-2</c:v>
                </c:pt>
                <c:pt idx="94">
                  <c:v>4.6268574390368342E-2</c:v>
                </c:pt>
                <c:pt idx="95">
                  <c:v>4.7224307723701689E-2</c:v>
                </c:pt>
                <c:pt idx="96">
                  <c:v>4.8190154637281907E-2</c:v>
                </c:pt>
                <c:pt idx="97">
                  <c:v>4.9166115131109085E-2</c:v>
                </c:pt>
                <c:pt idx="98">
                  <c:v>5.0152189205183148E-2</c:v>
                </c:pt>
                <c:pt idx="99">
                  <c:v>5.114837685950413E-2</c:v>
                </c:pt>
                <c:pt idx="100">
                  <c:v>5.2154678094072038E-2</c:v>
                </c:pt>
                <c:pt idx="101">
                  <c:v>5.3171092908886851E-2</c:v>
                </c:pt>
                <c:pt idx="102">
                  <c:v>5.4197621303948597E-2</c:v>
                </c:pt>
                <c:pt idx="103">
                  <c:v>5.5234263279257241E-2</c:v>
                </c:pt>
                <c:pt idx="104">
                  <c:v>5.6281018834812784E-2</c:v>
                </c:pt>
                <c:pt idx="105">
                  <c:v>5.7337887970615252E-2</c:v>
                </c:pt>
                <c:pt idx="106">
                  <c:v>5.8404870686664639E-2</c:v>
                </c:pt>
                <c:pt idx="107">
                  <c:v>5.9481966982960932E-2</c:v>
                </c:pt>
                <c:pt idx="108">
                  <c:v>6.0569176859504144E-2</c:v>
                </c:pt>
                <c:pt idx="109">
                  <c:v>6.1666500316294261E-2</c:v>
                </c:pt>
                <c:pt idx="110">
                  <c:v>6.2773937353331311E-2</c:v>
                </c:pt>
                <c:pt idx="111">
                  <c:v>6.3891487970615252E-2</c:v>
                </c:pt>
                <c:pt idx="112">
                  <c:v>6.5019152168146119E-2</c:v>
                </c:pt>
                <c:pt idx="113">
                  <c:v>6.6156929945923898E-2</c:v>
                </c:pt>
                <c:pt idx="114">
                  <c:v>6.7304821303948603E-2</c:v>
                </c:pt>
                <c:pt idx="115">
                  <c:v>6.8462826242220179E-2</c:v>
                </c:pt>
                <c:pt idx="116">
                  <c:v>6.9630944760738736E-2</c:v>
                </c:pt>
                <c:pt idx="117">
                  <c:v>7.080917685950415E-2</c:v>
                </c:pt>
                <c:pt idx="118">
                  <c:v>7.1997522538516476E-2</c:v>
                </c:pt>
                <c:pt idx="119">
                  <c:v>7.3195981797775728E-2</c:v>
                </c:pt>
                <c:pt idx="120">
                  <c:v>7.4404554637281919E-2</c:v>
                </c:pt>
                <c:pt idx="121">
                  <c:v>7.5623241057035051E-2</c:v>
                </c:pt>
                <c:pt idx="122">
                  <c:v>7.6852041057034998E-2</c:v>
                </c:pt>
                <c:pt idx="123">
                  <c:v>7.8090954637281884E-2</c:v>
                </c:pt>
                <c:pt idx="124">
                  <c:v>7.933998179777578E-2</c:v>
                </c:pt>
                <c:pt idx="125">
                  <c:v>8.0599122538516491E-2</c:v>
                </c:pt>
                <c:pt idx="126">
                  <c:v>8.1868376859504141E-2</c:v>
                </c:pt>
                <c:pt idx="127">
                  <c:v>8.314774476073869E-2</c:v>
                </c:pt>
                <c:pt idx="128">
                  <c:v>8.4437226242220179E-2</c:v>
                </c:pt>
                <c:pt idx="129">
                  <c:v>8.5736821303948579E-2</c:v>
                </c:pt>
                <c:pt idx="130">
                  <c:v>8.7046529945923892E-2</c:v>
                </c:pt>
                <c:pt idx="131">
                  <c:v>8.8366352168146076E-2</c:v>
                </c:pt>
                <c:pt idx="132">
                  <c:v>8.9696287970615227E-2</c:v>
                </c:pt>
                <c:pt idx="133">
                  <c:v>9.103633735333129E-2</c:v>
                </c:pt>
                <c:pt idx="134">
                  <c:v>9.2386500316294279E-2</c:v>
                </c:pt>
                <c:pt idx="135">
                  <c:v>9.3746776859504138E-2</c:v>
                </c:pt>
                <c:pt idx="136">
                  <c:v>9.5117166982960938E-2</c:v>
                </c:pt>
                <c:pt idx="137">
                  <c:v>9.6497670686664649E-2</c:v>
                </c:pt>
                <c:pt idx="138">
                  <c:v>9.7888287970615245E-2</c:v>
                </c:pt>
                <c:pt idx="139">
                  <c:v>9.9289018834812809E-2</c:v>
                </c:pt>
                <c:pt idx="140">
                  <c:v>0.10069986327925722</c:v>
                </c:pt>
                <c:pt idx="141">
                  <c:v>0.1021208213039486</c:v>
                </c:pt>
                <c:pt idx="142">
                  <c:v>0.10355189290888686</c:v>
                </c:pt>
                <c:pt idx="143">
                  <c:v>0.10499307809407205</c:v>
                </c:pt>
                <c:pt idx="144">
                  <c:v>0.10644437685950417</c:v>
                </c:pt>
                <c:pt idx="145">
                  <c:v>0.10790578920518311</c:v>
                </c:pt>
                <c:pt idx="146">
                  <c:v>0.10937731513110907</c:v>
                </c:pt>
                <c:pt idx="147">
                  <c:v>0.11085895463728195</c:v>
                </c:pt>
                <c:pt idx="148">
                  <c:v>0.11235070772370165</c:v>
                </c:pt>
                <c:pt idx="149">
                  <c:v>0.11385257439036833</c:v>
                </c:pt>
                <c:pt idx="150">
                  <c:v>0.11536455463728189</c:v>
                </c:pt>
              </c:numCache>
            </c:numRef>
          </c:yVal>
          <c:smooth val="1"/>
          <c:extLst>
            <c:ext xmlns:c16="http://schemas.microsoft.com/office/drawing/2014/chart" uri="{C3380CC4-5D6E-409C-BE32-E72D297353CC}">
              <c16:uniqueId val="{00000003-1F7F-4636-A580-34FBFDC03A54}"/>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27.345867884163688</c:v>
                </c:pt>
                <c:pt idx="1">
                  <c:v>27.345746245112764</c:v>
                </c:pt>
                <c:pt idx="2">
                  <c:v>27.345618877041797</c:v>
                </c:pt>
                <c:pt idx="3">
                  <c:v>27.345485510302545</c:v>
                </c:pt>
                <c:pt idx="4">
                  <c:v>27.345345862572433</c:v>
                </c:pt>
                <c:pt idx="5">
                  <c:v>27.345199638260741</c:v>
                </c:pt>
                <c:pt idx="6">
                  <c:v>27.345046527886719</c:v>
                </c:pt>
                <c:pt idx="7">
                  <c:v>27.344886207429013</c:v>
                </c:pt>
                <c:pt idx="8">
                  <c:v>27.344718337644544</c:v>
                </c:pt>
                <c:pt idx="9">
                  <c:v>27.34454256335605</c:v>
                </c:pt>
                <c:pt idx="10">
                  <c:v>27.34435851270608</c:v>
                </c:pt>
                <c:pt idx="11">
                  <c:v>27.344165796376771</c:v>
                </c:pt>
                <c:pt idx="12">
                  <c:v>27.343964006772925</c:v>
                </c:pt>
                <c:pt idx="13">
                  <c:v>27.34375271716786</c:v>
                </c:pt>
                <c:pt idx="14">
                  <c:v>27.343531480808764</c:v>
                </c:pt>
                <c:pt idx="15">
                  <c:v>27.343299829981294</c:v>
                </c:pt>
                <c:pt idx="16">
                  <c:v>27.343057275030802</c:v>
                </c:pt>
                <c:pt idx="17">
                  <c:v>27.342803303337831</c:v>
                </c:pt>
                <c:pt idx="18">
                  <c:v>27.342537378247034</c:v>
                </c:pt>
                <c:pt idx="19">
                  <c:v>27.342258937945804</c:v>
                </c:pt>
                <c:pt idx="20">
                  <c:v>27.341967394291782</c:v>
                </c:pt>
                <c:pt idx="21">
                  <c:v>27.341662131586286</c:v>
                </c:pt>
                <c:pt idx="22">
                  <c:v>27.341342505290847</c:v>
                </c:pt>
                <c:pt idx="23">
                  <c:v>27.341007840685624</c:v>
                </c:pt>
                <c:pt idx="24">
                  <c:v>27.340657431465047</c:v>
                </c:pt>
                <c:pt idx="25">
                  <c:v>27.340290538270246</c:v>
                </c:pt>
                <c:pt idx="26">
                  <c:v>27.339906387153409</c:v>
                </c:pt>
                <c:pt idx="27">
                  <c:v>27.339504167972436</c:v>
                </c:pt>
                <c:pt idx="28">
                  <c:v>27.339083032712136</c:v>
                </c:pt>
                <c:pt idx="29">
                  <c:v>27.338642093728645</c:v>
                </c:pt>
                <c:pt idx="30">
                  <c:v>27.338180421914334</c:v>
                </c:pt>
                <c:pt idx="31">
                  <c:v>27.337697044779169</c:v>
                </c:pt>
                <c:pt idx="32">
                  <c:v>27.337190944444952</c:v>
                </c:pt>
                <c:pt idx="33">
                  <c:v>27.336661055548809</c:v>
                </c:pt>
                <c:pt idx="34">
                  <c:v>27.336106263051999</c:v>
                </c:pt>
                <c:pt idx="35">
                  <c:v>27.335525399949937</c:v>
                </c:pt>
                <c:pt idx="36">
                  <c:v>27.334917244878948</c:v>
                </c:pt>
                <c:pt idx="37">
                  <c:v>27.334280519615888</c:v>
                </c:pt>
                <c:pt idx="38">
                  <c:v>27.333613886465674</c:v>
                </c:pt>
                <c:pt idx="39">
                  <c:v>27.332915945531898</c:v>
                </c:pt>
                <c:pt idx="40">
                  <c:v>27.332185231866205</c:v>
                </c:pt>
                <c:pt idx="41">
                  <c:v>27.331420212490691</c:v>
                </c:pt>
                <c:pt idx="42">
                  <c:v>27.330619283288428</c:v>
                </c:pt>
                <c:pt idx="43">
                  <c:v>27.329780765756947</c:v>
                </c:pt>
                <c:pt idx="44">
                  <c:v>27.328902903618481</c:v>
                </c:pt>
                <c:pt idx="45">
                  <c:v>27.32798385928146</c:v>
                </c:pt>
                <c:pt idx="46">
                  <c:v>27.327021710147452</c:v>
                </c:pt>
                <c:pt idx="47">
                  <c:v>27.326014444757654</c:v>
                </c:pt>
                <c:pt idx="48">
                  <c:v>27.324959958771071</c:v>
                </c:pt>
                <c:pt idx="49">
                  <c:v>27.323856050770345</c:v>
                </c:pt>
                <c:pt idx="50">
                  <c:v>27.322700417886381</c:v>
                </c:pt>
                <c:pt idx="51">
                  <c:v>27.321490651235738</c:v>
                </c:pt>
                <c:pt idx="52">
                  <c:v>27.320224231163959</c:v>
                </c:pt>
                <c:pt idx="53">
                  <c:v>27.318898522287181</c:v>
                </c:pt>
                <c:pt idx="54">
                  <c:v>27.317510768324851</c:v>
                </c:pt>
                <c:pt idx="55">
                  <c:v>27.316058086715785</c:v>
                </c:pt>
                <c:pt idx="56">
                  <c:v>27.314537463010321</c:v>
                </c:pt>
                <c:pt idx="57">
                  <c:v>27.312945745030262</c:v>
                </c:pt>
                <c:pt idx="58">
                  <c:v>27.311279636789049</c:v>
                </c:pt>
                <c:pt idx="59">
                  <c:v>27.309535692163767</c:v>
                </c:pt>
                <c:pt idx="60">
                  <c:v>27.30771030831108</c:v>
                </c:pt>
                <c:pt idx="61">
                  <c:v>27.305799718819145</c:v>
                </c:pt>
                <c:pt idx="62">
                  <c:v>27.303799986586629</c:v>
                </c:pt>
                <c:pt idx="63">
                  <c:v>27.301706996421107</c:v>
                </c:pt>
                <c:pt idx="64">
                  <c:v>27.29951644734868</c:v>
                </c:pt>
                <c:pt idx="65">
                  <c:v>27.297223844626227</c:v>
                </c:pt>
                <c:pt idx="66">
                  <c:v>27.294824491448555</c:v>
                </c:pt>
                <c:pt idx="67">
                  <c:v>27.292313480342326</c:v>
                </c:pt>
                <c:pt idx="68">
                  <c:v>27.28968568423976</c:v>
                </c:pt>
                <c:pt idx="69">
                  <c:v>27.286935747223083</c:v>
                </c:pt>
                <c:pt idx="70">
                  <c:v>27.284058074934361</c:v>
                </c:pt>
                <c:pt idx="71">
                  <c:v>27.281046824642594</c:v>
                </c:pt>
                <c:pt idx="72">
                  <c:v>27.277895894962811</c:v>
                </c:pt>
                <c:pt idx="73">
                  <c:v>27.274598915220011</c:v>
                </c:pt>
                <c:pt idx="74">
                  <c:v>27.271149234454445</c:v>
                </c:pt>
                <c:pt idx="75">
                  <c:v>27.267539910062112</c:v>
                </c:pt>
                <c:pt idx="76">
                  <c:v>27.263763696068647</c:v>
                </c:pt>
                <c:pt idx="77">
                  <c:v>27.259813031031914</c:v>
                </c:pt>
                <c:pt idx="78">
                  <c:v>27.25568002557381</c:v>
                </c:pt>
                <c:pt idx="79">
                  <c:v>27.251356449538964</c:v>
                </c:pt>
                <c:pt idx="80">
                  <c:v>27.246833718783105</c:v>
                </c:pt>
                <c:pt idx="81">
                  <c:v>27.242102881592164</c:v>
                </c:pt>
                <c:pt idx="82">
                  <c:v>27.23715460473727</c:v>
                </c:pt>
                <c:pt idx="83">
                  <c:v>27.231979159171303</c:v>
                </c:pt>
                <c:pt idx="84">
                  <c:v>27.226566405375486</c:v>
                </c:pt>
                <c:pt idx="85">
                  <c:v>27.220905778366038</c:v>
                </c:pt>
                <c:pt idx="86">
                  <c:v>27.214986272374588</c:v>
                </c:pt>
                <c:pt idx="87">
                  <c:v>27.20879642521734</c:v>
                </c:pt>
                <c:pt idx="88">
                  <c:v>27.20232430237256</c:v>
                </c:pt>
                <c:pt idx="89">
                  <c:v>27.195557480787542</c:v>
                </c:pt>
                <c:pt idx="90">
                  <c:v>27.188483032441745</c:v>
                </c:pt>
                <c:pt idx="91">
                  <c:v>27.181087507694528</c:v>
                </c:pt>
                <c:pt idx="92">
                  <c:v>27.173356918451852</c:v>
                </c:pt>
                <c:pt idx="93">
                  <c:v>27.165276721189613</c:v>
                </c:pt>
                <c:pt idx="94">
                  <c:v>27.156831799876411</c:v>
                </c:pt>
                <c:pt idx="95">
                  <c:v>27.148006448844761</c:v>
                </c:pt>
                <c:pt idx="96">
                  <c:v>27.138784355662516</c:v>
                </c:pt>
                <c:pt idx="97">
                  <c:v>27.129148584065213</c:v>
                </c:pt>
                <c:pt idx="98">
                  <c:v>27.11908155701407</c:v>
                </c:pt>
                <c:pt idx="99">
                  <c:v>27.108565039951888</c:v>
                </c:pt>
                <c:pt idx="100">
                  <c:v>27.097580124335202</c:v>
                </c:pt>
                <c:pt idx="101">
                  <c:v>27.086107211528549</c:v>
                </c:pt>
                <c:pt idx="102">
                  <c:v>27.074125997154724</c:v>
                </c:pt>
                <c:pt idx="103">
                  <c:v>27.061615456000933</c:v>
                </c:pt>
                <c:pt idx="104">
                  <c:v>27.048553827590851</c:v>
                </c:pt>
                <c:pt idx="105">
                  <c:v>27.034918602538514</c:v>
                </c:pt>
                <c:pt idx="106">
                  <c:v>27.020686509810549</c:v>
                </c:pt>
                <c:pt idx="107">
                  <c:v>27.005833505029528</c:v>
                </c:pt>
                <c:pt idx="108">
                  <c:v>26.990334759961318</c:v>
                </c:pt>
                <c:pt idx="109">
                  <c:v>26.974164653336693</c:v>
                </c:pt>
                <c:pt idx="110">
                  <c:v>26.957296763166191</c:v>
                </c:pt>
                <c:pt idx="111">
                  <c:v>26.939703860715309</c:v>
                </c:pt>
                <c:pt idx="112">
                  <c:v>26.921357906314363</c:v>
                </c:pt>
                <c:pt idx="113">
                  <c:v>26.902230047185448</c:v>
                </c:pt>
                <c:pt idx="114">
                  <c:v>26.88229061747429</c:v>
                </c:pt>
                <c:pt idx="115">
                  <c:v>26.861509140682259</c:v>
                </c:pt>
                <c:pt idx="116">
                  <c:v>26.839854334697041</c:v>
                </c:pt>
                <c:pt idx="117">
                  <c:v>26.817294119625767</c:v>
                </c:pt>
                <c:pt idx="118">
                  <c:v>26.793795628636651</c:v>
                </c:pt>
                <c:pt idx="119">
                  <c:v>26.769325222014942</c:v>
                </c:pt>
                <c:pt idx="120">
                  <c:v>26.743848504640695</c:v>
                </c:pt>
                <c:pt idx="121">
                  <c:v>26.717330347091689</c:v>
                </c:pt>
                <c:pt idx="122">
                  <c:v>26.689734910570188</c:v>
                </c:pt>
                <c:pt idx="123">
                  <c:v>26.661025675847068</c:v>
                </c:pt>
                <c:pt idx="124">
                  <c:v>26.631165476404615</c:v>
                </c:pt>
                <c:pt idx="125">
                  <c:v>26.600116535949979</c:v>
                </c:pt>
                <c:pt idx="126">
                  <c:v>26.567840510453486</c:v>
                </c:pt>
                <c:pt idx="127">
                  <c:v>26.534298534850535</c:v>
                </c:pt>
                <c:pt idx="128">
                  <c:v>26.49945127452137</c:v>
                </c:pt>
                <c:pt idx="129">
                  <c:v>26.463258981640884</c:v>
                </c:pt>
                <c:pt idx="130">
                  <c:v>26.425681556460976</c:v>
                </c:pt>
                <c:pt idx="131">
                  <c:v>26.386678613556708</c:v>
                </c:pt>
                <c:pt idx="132">
                  <c:v>26.346209553032466</c:v>
                </c:pt>
                <c:pt idx="133">
                  <c:v>26.304233636646067</c:v>
                </c:pt>
                <c:pt idx="134">
                  <c:v>26.26071006876753</c:v>
                </c:pt>
                <c:pt idx="135">
                  <c:v>26.215598082043876</c:v>
                </c:pt>
                <c:pt idx="136">
                  <c:v>26.168857027595465</c:v>
                </c:pt>
                <c:pt idx="137">
                  <c:v>26.120446469519301</c:v>
                </c:pt>
                <c:pt idx="138">
                  <c:v>26.070326283423853</c:v>
                </c:pt>
                <c:pt idx="139">
                  <c:v>26.018456758667124</c:v>
                </c:pt>
                <c:pt idx="140">
                  <c:v>25.964798703917872</c:v>
                </c:pt>
                <c:pt idx="141">
                  <c:v>25.909313555605333</c:v>
                </c:pt>
                <c:pt idx="142">
                  <c:v>25.851963488772263</c:v>
                </c:pt>
                <c:pt idx="143">
                  <c:v>25.792711529794182</c:v>
                </c:pt>
                <c:pt idx="144">
                  <c:v>25.731521670380808</c:v>
                </c:pt>
                <c:pt idx="145">
                  <c:v>25.668358982230881</c:v>
                </c:pt>
                <c:pt idx="146">
                  <c:v>25.603189731670135</c:v>
                </c:pt>
                <c:pt idx="147">
                  <c:v>25.535981493569132</c:v>
                </c:pt>
                <c:pt idx="148">
                  <c:v>25.466703263806892</c:v>
                </c:pt>
                <c:pt idx="149">
                  <c:v>25.395325569524925</c:v>
                </c:pt>
                <c:pt idx="150">
                  <c:v>25.321820576401738</c:v>
                </c:pt>
                <c:pt idx="151">
                  <c:v>25.246162192171781</c:v>
                </c:pt>
                <c:pt idx="152">
                  <c:v>25.168326165615099</c:v>
                </c:pt>
                <c:pt idx="153">
                  <c:v>25.088290180256987</c:v>
                </c:pt>
                <c:pt idx="154">
                  <c:v>25.006033942037178</c:v>
                </c:pt>
                <c:pt idx="155">
                  <c:v>24.921539260240007</c:v>
                </c:pt>
                <c:pt idx="156">
                  <c:v>24.834790121018003</c:v>
                </c:pt>
                <c:pt idx="157">
                  <c:v>24.74577275288922</c:v>
                </c:pt>
                <c:pt idx="158">
                  <c:v>24.654475683650663</c:v>
                </c:pt>
                <c:pt idx="159">
                  <c:v>24.560889788212748</c:v>
                </c:pt>
                <c:pt idx="160">
                  <c:v>24.465008326937262</c:v>
                </c:pt>
                <c:pt idx="161">
                  <c:v>24.36682697413929</c:v>
                </c:pt>
                <c:pt idx="162">
                  <c:v>24.266343836499175</c:v>
                </c:pt>
                <c:pt idx="163">
                  <c:v>24.163559461220267</c:v>
                </c:pt>
                <c:pt idx="164">
                  <c:v>24.058476833860976</c:v>
                </c:pt>
                <c:pt idx="165">
                  <c:v>23.951101365858165</c:v>
                </c:pt>
                <c:pt idx="166">
                  <c:v>23.841440871858175</c:v>
                </c:pt>
                <c:pt idx="167">
                  <c:v>23.729505537055935</c:v>
                </c:pt>
                <c:pt idx="168">
                  <c:v>23.6153078748338</c:v>
                </c:pt>
                <c:pt idx="169">
                  <c:v>23.498862675075877</c:v>
                </c:pt>
                <c:pt idx="170">
                  <c:v>23.380186943607455</c:v>
                </c:pt>
                <c:pt idx="171">
                  <c:v>23.259299833283929</c:v>
                </c:pt>
                <c:pt idx="172">
                  <c:v>23.13622256731454</c:v>
                </c:pt>
                <c:pt idx="173">
                  <c:v>23.010978355462409</c:v>
                </c:pt>
                <c:pt idx="174">
                  <c:v>22.883592303807049</c:v>
                </c:pt>
                <c:pt idx="175">
                  <c:v>22.754091318793897</c:v>
                </c:pt>
                <c:pt idx="176">
                  <c:v>22.622504006320248</c:v>
                </c:pt>
                <c:pt idx="177">
                  <c:v>22.488860566626379</c:v>
                </c:pt>
                <c:pt idx="178">
                  <c:v>22.353192685767365</c:v>
                </c:pt>
                <c:pt idx="179">
                  <c:v>22.215533424440402</c:v>
                </c:pt>
                <c:pt idx="180">
                  <c:v>22.075917104932334</c:v>
                </c:pt>
                <c:pt idx="181">
                  <c:v>21.934379196935765</c:v>
                </c:pt>
                <c:pt idx="182">
                  <c:v>21.790956202954138</c:v>
                </c:pt>
                <c:pt idx="183">
                  <c:v>21.645685543987337</c:v>
                </c:pt>
                <c:pt idx="184">
                  <c:v>21.498605446150009</c:v>
                </c:pt>
                <c:pt idx="185">
                  <c:v>21.349754828833905</c:v>
                </c:pt>
                <c:pt idx="186">
                  <c:v>21.199173194977902</c:v>
                </c:pt>
                <c:pt idx="187">
                  <c:v>21.046900523962236</c:v>
                </c:pt>
                <c:pt idx="188">
                  <c:v>20.892977167589123</c:v>
                </c:pt>
                <c:pt idx="189">
                  <c:v>20.737443749563699</c:v>
                </c:pt>
                <c:pt idx="190">
                  <c:v>20.580341068831562</c:v>
                </c:pt>
                <c:pt idx="191">
                  <c:v>20.421710007079959</c:v>
                </c:pt>
                <c:pt idx="192">
                  <c:v>20.261591440655348</c:v>
                </c:pt>
                <c:pt idx="193">
                  <c:v>20.100026157101727</c:v>
                </c:pt>
                <c:pt idx="194">
                  <c:v>19.937054776474085</c:v>
                </c:pt>
                <c:pt idx="195">
                  <c:v>19.772717677536015</c:v>
                </c:pt>
                <c:pt idx="196">
                  <c:v>19.60705492890736</c:v>
                </c:pt>
                <c:pt idx="197">
                  <c:v>19.440106225188238</c:v>
                </c:pt>
                <c:pt idx="198">
                  <c:v>19.271910828047176</c:v>
                </c:pt>
                <c:pt idx="199">
                  <c:v>19.10250751222932</c:v>
                </c:pt>
                <c:pt idx="200">
                  <c:v>18.931934516409932</c:v>
                </c:pt>
                <c:pt idx="201">
                  <c:v>18.760229498791144</c:v>
                </c:pt>
                <c:pt idx="202">
                  <c:v>18.587429497317466</c:v>
                </c:pt>
                <c:pt idx="203">
                  <c:v>18.413570894365474</c:v>
                </c:pt>
                <c:pt idx="204">
                  <c:v>18.238689385744777</c:v>
                </c:pt>
                <c:pt idx="205">
                  <c:v>18.062819953836676</c:v>
                </c:pt>
                <c:pt idx="206">
                  <c:v>17.885996844681806</c:v>
                </c:pt>
                <c:pt idx="207">
                  <c:v>17.708253548823912</c:v>
                </c:pt>
                <c:pt idx="208">
                  <c:v>17.529622785708064</c:v>
                </c:pt>
                <c:pt idx="209">
                  <c:v>17.350136491428529</c:v>
                </c:pt>
                <c:pt idx="210">
                  <c:v>17.169825809621923</c:v>
                </c:pt>
                <c:pt idx="211">
                  <c:v>16.98872108529789</c:v>
                </c:pt>
                <c:pt idx="212">
                  <c:v>16.806851861405619</c:v>
                </c:pt>
                <c:pt idx="213">
                  <c:v>16.624246877932926</c:v>
                </c:pt>
                <c:pt idx="214">
                  <c:v>16.440934073343698</c:v>
                </c:pt>
                <c:pt idx="215">
                  <c:v>16.256940588161576</c:v>
                </c:pt>
                <c:pt idx="216">
                  <c:v>16.072292770515414</c:v>
                </c:pt>
                <c:pt idx="217">
                  <c:v>15.887016183468859</c:v>
                </c:pt>
                <c:pt idx="218">
                  <c:v>15.701135613963935</c:v>
                </c:pt>
                <c:pt idx="219">
                  <c:v>15.514675083216275</c:v>
                </c:pt>
                <c:pt idx="220">
                  <c:v>15.327657858407836</c:v>
                </c:pt>
                <c:pt idx="221">
                  <c:v>15.140106465531103</c:v>
                </c:pt>
                <c:pt idx="222">
                  <c:v>14.952042703249035</c:v>
                </c:pt>
                <c:pt idx="223">
                  <c:v>14.763487657639764</c:v>
                </c:pt>
                <c:pt idx="224">
                  <c:v>14.574461717708068</c:v>
                </c:pt>
                <c:pt idx="225">
                  <c:v>14.384984591550396</c:v>
                </c:pt>
                <c:pt idx="226">
                  <c:v>14.195075323069513</c:v>
                </c:pt>
                <c:pt idx="227">
                  <c:v>14.004752309144283</c:v>
                </c:pt>
                <c:pt idx="228">
                  <c:v>13.814033317165199</c:v>
                </c:pt>
                <c:pt idx="229">
                  <c:v>13.622935502854371</c:v>
                </c:pt>
                <c:pt idx="230">
                  <c:v>13.431475428298366</c:v>
                </c:pt>
                <c:pt idx="231">
                  <c:v>13.239669080124305</c:v>
                </c:pt>
                <c:pt idx="232">
                  <c:v>13.047531887761055</c:v>
                </c:pt>
                <c:pt idx="233">
                  <c:v>12.855078741728638</c:v>
                </c:pt>
                <c:pt idx="234">
                  <c:v>12.662324011909902</c:v>
                </c:pt>
                <c:pt idx="235">
                  <c:v>12.469281565758701</c:v>
                </c:pt>
                <c:pt idx="236">
                  <c:v>12.27596478640756</c:v>
                </c:pt>
                <c:pt idx="237">
                  <c:v>12.082386590641702</c:v>
                </c:pt>
                <c:pt idx="238">
                  <c:v>11.888559446709674</c:v>
                </c:pt>
                <c:pt idx="239">
                  <c:v>11.6944953919461</c:v>
                </c:pt>
                <c:pt idx="240">
                  <c:v>11.500206050185902</c:v>
                </c:pt>
                <c:pt idx="241">
                  <c:v>11.305702648951662</c:v>
                </c:pt>
                <c:pt idx="242">
                  <c:v>11.110996036401197</c:v>
                </c:pt>
                <c:pt idx="243">
                  <c:v>10.916096698023662</c:v>
                </c:pt>
                <c:pt idx="244">
                  <c:v>10.721014773075252</c:v>
                </c:pt>
                <c:pt idx="245">
                  <c:v>10.525760070750604</c:v>
                </c:pt>
                <c:pt idx="246">
                  <c:v>10.330342086084558</c:v>
                </c:pt>
                <c:pt idx="247">
                  <c:v>10.134770015584454</c:v>
                </c:pt>
                <c:pt idx="248">
                  <c:v>9.9390527725935609</c:v>
                </c:pt>
                <c:pt idx="249">
                  <c:v>9.7431990023875716</c:v>
                </c:pt>
                <c:pt idx="250">
                  <c:v>9.5472170970092591</c:v>
                </c:pt>
                <c:pt idx="251">
                  <c:v>9.3511152098463626</c:v>
                </c:pt>
                <c:pt idx="252">
                  <c:v>9.1549012699603711</c:v>
                </c:pt>
                <c:pt idx="253">
                  <c:v>8.958582996174</c:v>
                </c:pt>
                <c:pt idx="254">
                  <c:v>8.7621679109267276</c:v>
                </c:pt>
                <c:pt idx="255">
                  <c:v>8.5656633539095051</c:v>
                </c:pt>
                <c:pt idx="256">
                  <c:v>8.3690764954892938</c:v>
                </c:pt>
                <c:pt idx="257">
                  <c:v>8.1724143499352166</c:v>
                </c:pt>
                <c:pt idx="258">
                  <c:v>7.9756837884601914</c:v>
                </c:pt>
                <c:pt idx="259">
                  <c:v>7.7788915520906095</c:v>
                </c:pt>
                <c:pt idx="260">
                  <c:v>7.5820442643786663</c:v>
                </c:pt>
                <c:pt idx="261">
                  <c:v>7.3851484439714898</c:v>
                </c:pt>
                <c:pt idx="262">
                  <c:v>7.1882105170525401</c:v>
                </c:pt>
                <c:pt idx="263">
                  <c:v>6.9912368296704939</c:v>
                </c:pt>
                <c:pt idx="264">
                  <c:v>6.794233659971626</c:v>
                </c:pt>
                <c:pt idx="265">
                  <c:v>6.5972072303516249</c:v>
                </c:pt>
                <c:pt idx="266">
                  <c:v>6.4001637195440981</c:v>
                </c:pt>
                <c:pt idx="267">
                  <c:v>6.2031092746609948</c:v>
                </c:pt>
                <c:pt idx="268">
                  <c:v>6.0060500232038647</c:v>
                </c:pt>
                <c:pt idx="269">
                  <c:v>5.8089920850615311</c:v>
                </c:pt>
                <c:pt idx="270">
                  <c:v>5.6119415845126248</c:v>
                </c:pt>
                <c:pt idx="271">
                  <c:v>5.4149046622500538</c:v>
                </c:pt>
                <c:pt idx="272">
                  <c:v>5.2178874874450454</c:v>
                </c:pt>
                <c:pt idx="273">
                  <c:v>5.0208962698690733</c:v>
                </c:pt>
                <c:pt idx="274">
                  <c:v>4.8239372720904345</c:v>
                </c:pt>
                <c:pt idx="275">
                  <c:v>4.6270168217657446</c:v>
                </c:pt>
                <c:pt idx="276">
                  <c:v>4.4301413240410641</c:v>
                </c:pt>
                <c:pt idx="277">
                  <c:v>4.2333172740837686</c:v>
                </c:pt>
                <c:pt idx="278">
                  <c:v>4.036551269761687</c:v>
                </c:pt>
                <c:pt idx="279">
                  <c:v>3.8398500244875757</c:v>
                </c:pt>
                <c:pt idx="280">
                  <c:v>3.6432203802474645</c:v>
                </c:pt>
                <c:pt idx="281">
                  <c:v>3.4466693208305572</c:v>
                </c:pt>
                <c:pt idx="282">
                  <c:v>3.2502039852781635</c:v>
                </c:pt>
                <c:pt idx="283">
                  <c:v>3.0538316815700366</c:v>
                </c:pt>
                <c:pt idx="284">
                  <c:v>2.8575599005645436</c:v>
                </c:pt>
                <c:pt idx="285">
                  <c:v>2.6613963302109713</c:v>
                </c:pt>
                <c:pt idx="286">
                  <c:v>2.4653488700503026</c:v>
                </c:pt>
                <c:pt idx="287">
                  <c:v>2.2694256460206228</c:v>
                </c:pt>
                <c:pt idx="288">
                  <c:v>2.0736350255842559</c:v>
                </c:pt>
                <c:pt idx="289">
                  <c:v>1.8779856331920133</c:v>
                </c:pt>
                <c:pt idx="290">
                  <c:v>1.6824863660983231</c:v>
                </c:pt>
                <c:pt idx="291">
                  <c:v>1.4871464105444727</c:v>
                </c:pt>
                <c:pt idx="292">
                  <c:v>1.2919752583200235</c:v>
                </c:pt>
                <c:pt idx="293">
                  <c:v>1.0969827237188601</c:v>
                </c:pt>
                <c:pt idx="294">
                  <c:v>0.90217896089866989</c:v>
                </c:pt>
                <c:pt idx="295">
                  <c:v>0.70757448165660275</c:v>
                </c:pt>
                <c:pt idx="296">
                  <c:v>0.51318017362923096</c:v>
                </c:pt>
                <c:pt idx="297">
                  <c:v>0.31900731892587192</c:v>
                </c:pt>
                <c:pt idx="298">
                  <c:v>0.12506761320127449</c:v>
                </c:pt>
                <c:pt idx="299">
                  <c:v>-6.8626814828516181E-2</c:v>
                </c:pt>
                <c:pt idx="300">
                  <c:v>-0.26206338342239643</c:v>
                </c:pt>
                <c:pt idx="301">
                  <c:v>-0.45522903740382015</c:v>
                </c:pt>
                <c:pt idx="302">
                  <c:v>-0.64811022730519208</c:v>
                </c:pt>
                <c:pt idx="303">
                  <c:v>-0.84069288807113896</c:v>
                </c:pt>
                <c:pt idx="304">
                  <c:v>-1.0329624173286964</c:v>
                </c:pt>
                <c:pt idx="305">
                  <c:v>-1.2249036532351054</c:v>
                </c:pt>
                <c:pt idx="306">
                  <c:v>-1.4165008519173554</c:v>
                </c:pt>
                <c:pt idx="307">
                  <c:v>-1.6077376645219212</c:v>
                </c:pt>
                <c:pt idx="308">
                  <c:v>-1.7985971138968342</c:v>
                </c:pt>
                <c:pt idx="309">
                  <c:v>-1.9890615709335491</c:v>
                </c:pt>
                <c:pt idx="310">
                  <c:v>-2.1791127306003752</c:v>
                </c:pt>
                <c:pt idx="311">
                  <c:v>-2.3687315877044042</c:v>
                </c:pt>
                <c:pt idx="312">
                  <c:v>-2.5578984124271722</c:v>
                </c:pt>
                <c:pt idx="313">
                  <c:v>-2.7465927256807228</c:v>
                </c:pt>
                <c:pt idx="314">
                  <c:v>-2.9347932743432632</c:v>
                </c:pt>
                <c:pt idx="315">
                  <c:v>-3.1224780064362552</c:v>
                </c:pt>
                <c:pt idx="316">
                  <c:v>-3.3096240463148781</c:v>
                </c:pt>
                <c:pt idx="317">
                  <c:v>-3.4962076699517985</c:v>
                </c:pt>
                <c:pt idx="318">
                  <c:v>-3.6822042804019031</c:v>
                </c:pt>
                <c:pt idx="319">
                  <c:v>-3.8675883835461544</c:v>
                </c:pt>
                <c:pt idx="320">
                  <c:v>-4.0523335642222049</c:v>
                </c:pt>
                <c:pt idx="321">
                  <c:v>-4.2364124628585857</c:v>
                </c:pt>
                <c:pt idx="322">
                  <c:v>-4.4197967527419282</c:v>
                </c:pt>
                <c:pt idx="323">
                  <c:v>-4.6024571180562406</c:v>
                </c:pt>
                <c:pt idx="324">
                  <c:v>-4.784363232846526</c:v>
                </c:pt>
                <c:pt idx="325">
                  <c:v>-4.9654837410687556</c:v>
                </c:pt>
                <c:pt idx="326">
                  <c:v>-5.1457862379034527</c:v>
                </c:pt>
                <c:pt idx="327">
                  <c:v>-5.3252372525206439</c:v>
                </c:pt>
                <c:pt idx="328">
                  <c:v>-5.5038022324976685</c:v>
                </c:pt>
                <c:pt idx="329">
                  <c:v>-5.6814455301049902</c:v>
                </c:pt>
                <c:pt idx="330">
                  <c:v>-5.8581303906855613</c:v>
                </c:pt>
                <c:pt idx="331">
                  <c:v>-6.0338189433704041</c:v>
                </c:pt>
                <c:pt idx="332">
                  <c:v>-6.2084721943812013</c:v>
                </c:pt>
                <c:pt idx="333">
                  <c:v>-6.3820500231864461</c:v>
                </c:pt>
                <c:pt idx="334">
                  <c:v>-6.5545111817868769</c:v>
                </c:pt>
                <c:pt idx="335">
                  <c:v>-6.7258132974186369</c:v>
                </c:pt>
                <c:pt idx="336">
                  <c:v>-6.8959128789704529</c:v>
                </c:pt>
                <c:pt idx="337">
                  <c:v>-7.06476532742251</c:v>
                </c:pt>
                <c:pt idx="338">
                  <c:v>-7.2323249506191658</c:v>
                </c:pt>
                <c:pt idx="339">
                  <c:v>-7.3985449826940632</c:v>
                </c:pt>
                <c:pt idx="340">
                  <c:v>-7.5633776084709208</c:v>
                </c:pt>
                <c:pt idx="341">
                  <c:v>-7.7267739931628068</c:v>
                </c:pt>
                <c:pt idx="342">
                  <c:v>-7.8886843176913226</c:v>
                </c:pt>
                <c:pt idx="343">
                  <c:v>-8.0490578199439877</c:v>
                </c:pt>
                <c:pt idx="344">
                  <c:v>-8.2078428422796463</c:v>
                </c:pt>
                <c:pt idx="345">
                  <c:v>-8.3649868855802776</c:v>
                </c:pt>
                <c:pt idx="346">
                  <c:v>-8.5204366701339147</c:v>
                </c:pt>
                <c:pt idx="347">
                  <c:v>-8.6741382036121806</c:v>
                </c:pt>
                <c:pt idx="348">
                  <c:v>-8.8260368563855511</c:v>
                </c:pt>
                <c:pt idx="349">
                  <c:v>-8.9760774443878653</c:v>
                </c:pt>
                <c:pt idx="350">
                  <c:v>-9.1242043197108433</c:v>
                </c:pt>
                <c:pt idx="351">
                  <c:v>-9.270361469071565</c:v>
                </c:pt>
                <c:pt idx="352">
                  <c:v>-9.4144926202506038</c:v>
                </c:pt>
                <c:pt idx="353">
                  <c:v>-9.5565413565524722</c:v>
                </c:pt>
                <c:pt idx="354">
                  <c:v>-9.6964512392861728</c:v>
                </c:pt>
                <c:pt idx="355">
                  <c:v>-9.8341659382029007</c:v>
                </c:pt>
                <c:pt idx="356">
                  <c:v>-9.9696293697684872</c:v>
                </c:pt>
                <c:pt idx="357">
                  <c:v>-10.102785843076639</c:v>
                </c:pt>
                <c:pt idx="358">
                  <c:v>-10.233580213138215</c:v>
                </c:pt>
                <c:pt idx="359">
                  <c:v>-10.361958041206575</c:v>
                </c:pt>
                <c:pt idx="360">
                  <c:v>-10.487865761718302</c:v>
                </c:pt>
                <c:pt idx="361">
                  <c:v>-10.61125085534754</c:v>
                </c:pt>
                <c:pt idx="362">
                  <c:v>-10.732062027589272</c:v>
                </c:pt>
                <c:pt idx="363">
                  <c:v>-10.850249392201313</c:v>
                </c:pt>
                <c:pt idx="364">
                  <c:v>-10.965764658752231</c:v>
                </c:pt>
                <c:pt idx="365">
                  <c:v>-11.078561323436302</c:v>
                </c:pt>
                <c:pt idx="366">
                  <c:v>-11.188594862240045</c:v>
                </c:pt>
                <c:pt idx="367">
                  <c:v>-11.295822925462764</c:v>
                </c:pt>
                <c:pt idx="368">
                  <c:v>-11.400205532523424</c:v>
                </c:pt>
                <c:pt idx="369">
                  <c:v>-11.501705265918554</c:v>
                </c:pt>
                <c:pt idx="370">
                  <c:v>-11.600287463134295</c:v>
                </c:pt>
                <c:pt idx="371">
                  <c:v>-11.695920405265166</c:v>
                </c:pt>
                <c:pt idx="372">
                  <c:v>-11.788575501049438</c:v>
                </c:pt>
                <c:pt idx="373">
                  <c:v>-11.878227464996929</c:v>
                </c:pt>
                <c:pt idx="374">
                  <c:v>-11.964854488266409</c:v>
                </c:pt>
                <c:pt idx="375">
                  <c:v>-12.048438400939652</c:v>
                </c:pt>
                <c:pt idx="376">
                  <c:v>-12.128964824344495</c:v>
                </c:pt>
                <c:pt idx="377">
                  <c:v>-12.206423312096232</c:v>
                </c:pt>
                <c:pt idx="378">
                  <c:v>-12.280807478560119</c:v>
                </c:pt>
                <c:pt idx="379">
                  <c:v>-12.352115113483944</c:v>
                </c:pt>
                <c:pt idx="380">
                  <c:v>-12.420348281609307</c:v>
                </c:pt>
                <c:pt idx="381">
                  <c:v>-12.48551340614827</c:v>
                </c:pt>
                <c:pt idx="382">
                  <c:v>-12.547621335098981</c:v>
                </c:pt>
                <c:pt idx="383">
                  <c:v>-12.606687389477909</c:v>
                </c:pt>
                <c:pt idx="384">
                  <c:v>-12.6627313926639</c:v>
                </c:pt>
                <c:pt idx="385">
                  <c:v>-12.715777680174023</c:v>
                </c:pt>
                <c:pt idx="386">
                  <c:v>-12.765855089333609</c:v>
                </c:pt>
                <c:pt idx="387">
                  <c:v>-12.81299692844911</c:v>
                </c:pt>
                <c:pt idx="388">
                  <c:v>-12.857240925252158</c:v>
                </c:pt>
                <c:pt idx="389">
                  <c:v>-12.898629154542522</c:v>
                </c:pt>
                <c:pt idx="390">
                  <c:v>-12.93720794513388</c:v>
                </c:pt>
                <c:pt idx="391">
                  <c:v>-12.97302776636991</c:v>
                </c:pt>
                <c:pt idx="392">
                  <c:v>-13.006143094659118</c:v>
                </c:pt>
                <c:pt idx="393">
                  <c:v>-13.036612260645303</c:v>
                </c:pt>
                <c:pt idx="394">
                  <c:v>-13.064497277801959</c:v>
                </c:pt>
                <c:pt idx="395">
                  <c:v>-13.089863653404636</c:v>
                </c:pt>
                <c:pt idx="396">
                  <c:v>-13.112780182992873</c:v>
                </c:pt>
                <c:pt idx="397">
                  <c:v>-13.133318729583925</c:v>
                </c:pt>
                <c:pt idx="398">
                  <c:v>-13.151553989037808</c:v>
                </c:pt>
                <c:pt idx="399">
                  <c:v>-13.167563243100354</c:v>
                </c:pt>
                <c:pt idx="400">
                  <c:v>-13.181426101761444</c:v>
                </c:pt>
                <c:pt idx="401">
                  <c:v>-13.193224236661914</c:v>
                </c:pt>
                <c:pt idx="402">
                  <c:v>-13.203041107358908</c:v>
                </c:pt>
                <c:pt idx="403">
                  <c:v>-13.210961682320262</c:v>
                </c:pt>
                <c:pt idx="404">
                  <c:v>-13.217072156557579</c:v>
                </c:pt>
                <c:pt idx="405">
                  <c:v>-13.221459667826434</c:v>
                </c:pt>
                <c:pt idx="406">
                  <c:v>-13.224212013322932</c:v>
                </c:pt>
                <c:pt idx="407">
                  <c:v>-13.225417368782288</c:v>
                </c:pt>
                <c:pt idx="408">
                  <c:v>-13.225164011844432</c:v>
                </c:pt>
                <c:pt idx="409">
                  <c:v>-13.223540051490829</c:v>
                </c:pt>
                <c:pt idx="410">
                  <c:v>-13.220633165273997</c:v>
                </c:pt>
                <c:pt idx="411">
                  <c:v>-13.216530345967037</c:v>
                </c:pt>
                <c:pt idx="412">
                  <c:v>-13.211317659142372</c:v>
                </c:pt>
                <c:pt idx="413">
                  <c:v>-13.20508001306564</c:v>
                </c:pt>
                <c:pt idx="414">
                  <c:v>-13.197900942144232</c:v>
                </c:pt>
                <c:pt idx="415">
                  <c:v>-13.18986240502403</c:v>
                </c:pt>
                <c:pt idx="416">
                  <c:v>-13.181044598267498</c:v>
                </c:pt>
                <c:pt idx="417">
                  <c:v>-13.171525786377625</c:v>
                </c:pt>
                <c:pt idx="418">
                  <c:v>-13.161382148771636</c:v>
                </c:pt>
                <c:pt idx="419">
                  <c:v>-13.150687644133026</c:v>
                </c:pt>
                <c:pt idx="420">
                  <c:v>-13.139513892405098</c:v>
                </c:pt>
                <c:pt idx="421">
                  <c:v>-13.127930074527871</c:v>
                </c:pt>
                <c:pt idx="422">
                  <c:v>-13.116002849857322</c:v>
                </c:pt>
                <c:pt idx="423">
                  <c:v>-13.103796291060764</c:v>
                </c:pt>
                <c:pt idx="424">
                  <c:v>-13.091371836136867</c:v>
                </c:pt>
                <c:pt idx="425">
                  <c:v>-13.0787882570829</c:v>
                </c:pt>
                <c:pt idx="426">
                  <c:v>-13.066101644610322</c:v>
                </c:pt>
                <c:pt idx="427">
                  <c:v>-13.053365408208029</c:v>
                </c:pt>
                <c:pt idx="428">
                  <c:v>-13.040630290761047</c:v>
                </c:pt>
                <c:pt idx="429">
                  <c:v>-13.027944396853741</c:v>
                </c:pt>
                <c:pt idx="430">
                  <c:v>-13.015353233828492</c:v>
                </c:pt>
                <c:pt idx="431">
                  <c:v>-13.002899764618965</c:v>
                </c:pt>
                <c:pt idx="432">
                  <c:v>-12.990624471345733</c:v>
                </c:pt>
                <c:pt idx="433">
                  <c:v>-12.978565428639952</c:v>
                </c:pt>
                <c:pt idx="434">
                  <c:v>-12.966758385654423</c:v>
                </c:pt>
                <c:pt idx="435">
                  <c:v>-12.955236855724417</c:v>
                </c:pt>
                <c:pt idx="436">
                  <c:v>-12.944032212655006</c:v>
                </c:pt>
                <c:pt idx="437">
                  <c:v>-12.933173792638339</c:v>
                </c:pt>
                <c:pt idx="438">
                  <c:v>-12.922689000834961</c:v>
                </c:pt>
                <c:pt idx="439">
                  <c:v>-12.91260342169541</c:v>
                </c:pt>
                <c:pt idx="440">
                  <c:v>-12.902940932144338</c:v>
                </c:pt>
                <c:pt idx="441">
                  <c:v>-12.893723816800938</c:v>
                </c:pt>
                <c:pt idx="442">
                  <c:v>-12.884972884464334</c:v>
                </c:pt>
                <c:pt idx="443">
                  <c:v>-12.8767075851522</c:v>
                </c:pt>
                <c:pt idx="444">
                  <c:v>-12.868946127037834</c:v>
                </c:pt>
                <c:pt idx="445">
                  <c:v>-12.861705592692774</c:v>
                </c:pt>
                <c:pt idx="446">
                  <c:v>-12.85500205410238</c:v>
                </c:pt>
                <c:pt idx="447">
                  <c:v>-12.848850685978441</c:v>
                </c:pt>
                <c:pt idx="448">
                  <c:v>-12.843265876952332</c:v>
                </c:pt>
                <c:pt idx="449">
                  <c:v>-12.838261338285248</c:v>
                </c:pt>
                <c:pt idx="450">
                  <c:v>-12.833850209785249</c:v>
                </c:pt>
                <c:pt idx="451">
                  <c:v>-12.830045162669483</c:v>
                </c:pt>
                <c:pt idx="452">
                  <c:v>-12.82685849915352</c:v>
                </c:pt>
                <c:pt idx="453">
                  <c:v>-12.824302248594545</c:v>
                </c:pt>
                <c:pt idx="454">
                  <c:v>-12.822388260048525</c:v>
                </c:pt>
                <c:pt idx="455">
                  <c:v>-12.821128291140585</c:v>
                </c:pt>
                <c:pt idx="456">
                  <c:v>-12.820534093170995</c:v>
                </c:pt>
                <c:pt idx="457">
                  <c:v>-12.820617492410944</c:v>
                </c:pt>
                <c:pt idx="458">
                  <c:v>-12.821390467560585</c:v>
                </c:pt>
                <c:pt idx="459">
                  <c:v>-12.822865223361079</c:v>
                </c:pt>
                <c:pt idx="460">
                  <c:v>-12.82505426036696</c:v>
                </c:pt>
                <c:pt idx="461">
                  <c:v>-12.827970440896454</c:v>
                </c:pt>
                <c:pt idx="462">
                  <c:v>-12.831627051184931</c:v>
                </c:pt>
                <c:pt idx="463">
                  <c:v>-12.836037859771899</c:v>
                </c:pt>
                <c:pt idx="464">
                  <c:v>-12.841217172154689</c:v>
                </c:pt>
                <c:pt idx="465">
                  <c:v>-12.847179881740283</c:v>
                </c:pt>
                <c:pt idx="466">
                  <c:v>-12.853941517126737</c:v>
                </c:pt>
                <c:pt idx="467">
                  <c:v>-12.861518285737894</c:v>
                </c:pt>
                <c:pt idx="468">
                  <c:v>-12.869927113831352</c:v>
                </c:pt>
                <c:pt idx="469">
                  <c:v>-12.879185682891572</c:v>
                </c:pt>
                <c:pt idx="470">
                  <c:v>-12.889312462408313</c:v>
                </c:pt>
                <c:pt idx="471">
                  <c:v>-12.900326739034899</c:v>
                </c:pt>
                <c:pt idx="472">
                  <c:v>-12.912248642105538</c:v>
                </c:pt>
                <c:pt idx="473">
                  <c:v>-12.92509916548309</c:v>
                </c:pt>
                <c:pt idx="474">
                  <c:v>-12.938900185693871</c:v>
                </c:pt>
                <c:pt idx="475">
                  <c:v>-12.953674476297239</c:v>
                </c:pt>
                <c:pt idx="476">
                  <c:v>-12.9694457184256</c:v>
                </c:pt>
                <c:pt idx="477">
                  <c:v>-12.986238507416468</c:v>
                </c:pt>
                <c:pt idx="478">
                  <c:v>-13.004078355454068</c:v>
                </c:pt>
                <c:pt idx="479">
                  <c:v>-13.022991690122311</c:v>
                </c:pt>
                <c:pt idx="480">
                  <c:v>-13.043005848767972</c:v>
                </c:pt>
                <c:pt idx="481">
                  <c:v>-13.064149068563795</c:v>
                </c:pt>
                <c:pt idx="482">
                  <c:v>-13.08645047215731</c:v>
                </c:pt>
                <c:pt idx="483">
                  <c:v>-13.109940048789095</c:v>
                </c:pt>
                <c:pt idx="484">
                  <c:v>-13.134648630762779</c:v>
                </c:pt>
                <c:pt idx="485">
                  <c:v>-13.160607865152771</c:v>
                </c:pt>
                <c:pt idx="486">
                  <c:v>-13.187850180638687</c:v>
                </c:pt>
                <c:pt idx="487">
                  <c:v>-13.216408749364756</c:v>
                </c:pt>
                <c:pt idx="488">
                  <c:v>-13.246317443734021</c:v>
                </c:pt>
                <c:pt idx="489">
                  <c:v>-13.277610788058542</c:v>
                </c:pt>
                <c:pt idx="490">
                  <c:v>-13.310323905009502</c:v>
                </c:pt>
                <c:pt idx="491">
                  <c:v>-13.344492456826927</c:v>
                </c:pt>
                <c:pt idx="492">
                  <c:v>-13.380152581279097</c:v>
                </c:pt>
                <c:pt idx="493">
                  <c:v>-13.417340822385482</c:v>
                </c:pt>
                <c:pt idx="494">
                  <c:v>-13.45609405595463</c:v>
                </c:pt>
                <c:pt idx="495">
                  <c:v>-13.496449410018256</c:v>
                </c:pt>
                <c:pt idx="496">
                  <c:v>-13.538444180287604</c:v>
                </c:pt>
                <c:pt idx="497">
                  <c:v>-13.582115740796537</c:v>
                </c:pt>
                <c:pt idx="498">
                  <c:v>-13.627501449941487</c:v>
                </c:pt>
                <c:pt idx="499">
                  <c:v>-13.674638552178308</c:v>
                </c:pt>
                <c:pt idx="500">
                  <c:v>-13.723564075680128</c:v>
                </c:pt>
                <c:pt idx="501">
                  <c:v>-13.774314726316742</c:v>
                </c:pt>
                <c:pt idx="502">
                  <c:v>-13.826926778362004</c:v>
                </c:pt>
                <c:pt idx="503">
                  <c:v>-13.881435962390427</c:v>
                </c:pt>
                <c:pt idx="504">
                  <c:v>-13.937877350872164</c:v>
                </c:pt>
                <c:pt idx="505">
                  <c:v>-13.996285242025152</c:v>
                </c:pt>
                <c:pt idx="506">
                  <c:v>-14.056693042528998</c:v>
                </c:pt>
                <c:pt idx="507">
                  <c:v>-14.119133149747594</c:v>
                </c:pt>
                <c:pt idx="508">
                  <c:v>-14.183636834145455</c:v>
                </c:pt>
                <c:pt idx="509">
                  <c:v>-14.250234122616074</c:v>
                </c:pt>
                <c:pt idx="510">
                  <c:v>-14.318953683466255</c:v>
                </c:pt>
                <c:pt idx="511">
                  <c:v>-14.389822713822102</c:v>
                </c:pt>
                <c:pt idx="512">
                  <c:v>-14.46286683023194</c:v>
                </c:pt>
                <c:pt idx="513">
                  <c:v>-14.538109963245912</c:v>
                </c:pt>
                <c:pt idx="514">
                  <c:v>-14.615574256748893</c:v>
                </c:pt>
                <c:pt idx="515">
                  <c:v>-14.695279972804068</c:v>
                </c:pt>
                <c:pt idx="516">
                  <c:v>-14.77724540274613</c:v>
                </c:pt>
                <c:pt idx="517">
                  <c:v>-14.861486785224528</c:v>
                </c:pt>
                <c:pt idx="518">
                  <c:v>-14.948018231857294</c:v>
                </c:pt>
                <c:pt idx="519">
                  <c:v>-15.03685166110361</c:v>
                </c:pt>
                <c:pt idx="520">
                  <c:v>-15.127996740900095</c:v>
                </c:pt>
                <c:pt idx="521">
                  <c:v>-15.221460840541701</c:v>
                </c:pt>
                <c:pt idx="522">
                  <c:v>-15.317248992207329</c:v>
                </c:pt>
                <c:pt idx="523">
                  <c:v>-15.415363862453294</c:v>
                </c:pt>
                <c:pt idx="524">
                  <c:v>-15.515805733909113</c:v>
                </c:pt>
                <c:pt idx="525">
                  <c:v>-15.618572497319505</c:v>
                </c:pt>
                <c:pt idx="526">
                  <c:v>-15.723659653986694</c:v>
                </c:pt>
                <c:pt idx="527">
                  <c:v>-15.831060328571105</c:v>
                </c:pt>
                <c:pt idx="528">
                  <c:v>-15.940765292119234</c:v>
                </c:pt>
                <c:pt idx="529">
                  <c:v>-16.052762995095193</c:v>
                </c:pt>
                <c:pt idx="530">
                  <c:v>-16.167039610105189</c:v>
                </c:pt>
                <c:pt idx="531">
                  <c:v>-16.283579083924113</c:v>
                </c:pt>
                <c:pt idx="532">
                  <c:v>-16.402363198354855</c:v>
                </c:pt>
                <c:pt idx="533">
                  <c:v>-16.523371639382336</c:v>
                </c:pt>
                <c:pt idx="534">
                  <c:v>-16.646582074023609</c:v>
                </c:pt>
                <c:pt idx="535">
                  <c:v>-16.77197023422017</c:v>
                </c:pt>
                <c:pt idx="536">
                  <c:v>-16.899510007075737</c:v>
                </c:pt>
                <c:pt idx="537">
                  <c:v>-17.029173530710317</c:v>
                </c:pt>
                <c:pt idx="538">
                  <c:v>-17.160931294970943</c:v>
                </c:pt>
                <c:pt idx="539">
                  <c:v>-17.294752246230342</c:v>
                </c:pt>
                <c:pt idx="540">
                  <c:v>-17.430603895493398</c:v>
                </c:pt>
                <c:pt idx="541">
                  <c:v>-17.56845242903907</c:v>
                </c:pt>
              </c:numCache>
            </c:numRef>
          </c:yVal>
          <c:smooth val="1"/>
          <c:extLst>
            <c:ext xmlns:c16="http://schemas.microsoft.com/office/drawing/2014/chart" uri="{C3380CC4-5D6E-409C-BE32-E72D297353CC}">
              <c16:uniqueId val="{00000000-803D-44F5-B8E6-A5B9D3091231}"/>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-1.4038607804729846</c:v>
                </c:pt>
                <c:pt idx="1">
                  <c:v>-1.436547551064854</c:v>
                </c:pt>
                <c:pt idx="2">
                  <c:v>-1.4699947402234124</c:v>
                </c:pt>
                <c:pt idx="3">
                  <c:v>-1.5042199921938817</c:v>
                </c:pt>
                <c:pt idx="4">
                  <c:v>-1.5392413573399644</c:v>
                </c:pt>
                <c:pt idx="5">
                  <c:v>-1.5750773012562651</c:v>
                </c:pt>
                <c:pt idx="6">
                  <c:v>-1.6117467140681994</c:v>
                </c:pt>
                <c:pt idx="7">
                  <c:v>-1.6492689199220312</c:v>
                </c:pt>
                <c:pt idx="8">
                  <c:v>-1.6876636866676757</c:v>
                </c:pt>
                <c:pt idx="9">
                  <c:v>-1.7269512357365169</c:v>
                </c:pt>
                <c:pt idx="10">
                  <c:v>-1.7671522522169056</c:v>
                </c:pt>
                <c:pt idx="11">
                  <c:v>-1.8082878951294905</c:v>
                </c:pt>
                <c:pt idx="12">
                  <c:v>-1.8503798079045128</c:v>
                </c:pt>
                <c:pt idx="13">
                  <c:v>-1.8934501290632466</c:v>
                </c:pt>
                <c:pt idx="14">
                  <c:v>-1.9375215031055042</c:v>
                </c:pt>
                <c:pt idx="15">
                  <c:v>-1.9826170916048591</c:v>
                </c:pt>
                <c:pt idx="16">
                  <c:v>-2.0287605845133565</c:v>
                </c:pt>
                <c:pt idx="17">
                  <c:v>-2.075976211676958</c:v>
                </c:pt>
                <c:pt idx="18">
                  <c:v>-2.1242887545630444</c:v>
                </c:pt>
                <c:pt idx="19">
                  <c:v>-2.1737235582009262</c:v>
                </c:pt>
                <c:pt idx="20">
                  <c:v>-2.2243065433359552</c:v>
                </c:pt>
                <c:pt idx="21">
                  <c:v>-2.2760642187979503</c:v>
                </c:pt>
                <c:pt idx="22">
                  <c:v>-2.3290236940836482</c:v>
                </c:pt>
                <c:pt idx="23">
                  <c:v>-2.3832126921534593</c:v>
                </c:pt>
                <c:pt idx="24">
                  <c:v>-2.4386595624414973</c:v>
                </c:pt>
                <c:pt idx="25">
                  <c:v>-2.4953932940783305</c:v>
                </c:pt>
                <c:pt idx="26">
                  <c:v>-2.5534435293245963</c:v>
                </c:pt>
                <c:pt idx="27">
                  <c:v>-2.6128405772140297</c:v>
                </c:pt>
                <c:pt idx="28">
                  <c:v>-2.6736154274032771</c:v>
                </c:pt>
                <c:pt idx="29">
                  <c:v>-2.7357997642254737</c:v>
                </c:pt>
                <c:pt idx="30">
                  <c:v>-2.7994259809443425</c:v>
                </c:pt>
                <c:pt idx="31">
                  <c:v>-2.8645271942041268</c:v>
                </c:pt>
                <c:pt idx="32">
                  <c:v>-2.9311372586709092</c:v>
                </c:pt>
                <c:pt idx="33">
                  <c:v>-2.9992907818593748</c:v>
                </c:pt>
                <c:pt idx="34">
                  <c:v>-3.0690231391384941</c:v>
                </c:pt>
                <c:pt idx="35">
                  <c:v>-3.1403704889087698</c:v>
                </c:pt>
                <c:pt idx="36">
                  <c:v>-3.2133697879428018</c:v>
                </c:pt>
                <c:pt idx="37">
                  <c:v>-3.2880588068795737</c:v>
                </c:pt>
                <c:pt idx="38">
                  <c:v>-3.3644761458619432</c:v>
                </c:pt>
                <c:pt idx="39">
                  <c:v>-3.4426612503058154</c:v>
                </c:pt>
                <c:pt idx="40">
                  <c:v>-3.5226544267879234</c:v>
                </c:pt>
                <c:pt idx="41">
                  <c:v>-3.6044968590376372</c:v>
                </c:pt>
                <c:pt idx="42">
                  <c:v>-3.6882306240172626</c:v>
                </c:pt>
                <c:pt idx="43">
                  <c:v>-3.7738987080728981</c:v>
                </c:pt>
                <c:pt idx="44">
                  <c:v>-3.8615450231374466</c:v>
                </c:pt>
                <c:pt idx="45">
                  <c:v>-3.9512144229638544</c:v>
                </c:pt>
                <c:pt idx="46">
                  <c:v>-4.0429527193663066</c:v>
                </c:pt>
                <c:pt idx="47">
                  <c:v>-4.1368066984440919</c:v>
                </c:pt>
                <c:pt idx="48">
                  <c:v>-4.2328241367608586</c:v>
                </c:pt>
                <c:pt idx="49">
                  <c:v>-4.3310538174496838</c:v>
                </c:pt>
                <c:pt idx="50">
                  <c:v>-4.4315455462113968</c:v>
                </c:pt>
                <c:pt idx="51">
                  <c:v>-4.5343501671720707</c:v>
                </c:pt>
                <c:pt idx="52">
                  <c:v>-4.6395195785604066</c:v>
                </c:pt>
                <c:pt idx="53">
                  <c:v>-4.7471067481659324</c:v>
                </c:pt>
                <c:pt idx="54">
                  <c:v>-4.8571657285318652</c:v>
                </c:pt>
                <c:pt idx="55">
                  <c:v>-4.969751671836681</c:v>
                </c:pt>
                <c:pt idx="56">
                  <c:v>-5.0849208444115312</c:v>
                </c:pt>
                <c:pt idx="57">
                  <c:v>-5.2027306408392171</c:v>
                </c:pt>
                <c:pt idx="58">
                  <c:v>-5.3232395975744167</c:v>
                </c:pt>
                <c:pt idx="59">
                  <c:v>-5.4465074060216443</c:v>
                </c:pt>
                <c:pt idx="60">
                  <c:v>-5.5725949250021243</c:v>
                </c:pt>
                <c:pt idx="61">
                  <c:v>-5.7015641925354332</c:v>
                </c:pt>
                <c:pt idx="62">
                  <c:v>-5.8334784368580284</c:v>
                </c:pt>
                <c:pt idx="63">
                  <c:v>-5.968402086593172</c:v>
                </c:pt>
                <c:pt idx="64">
                  <c:v>-6.1064007799820974</c:v>
                </c:pt>
                <c:pt idx="65">
                  <c:v>-6.2475413730808009</c:v>
                </c:pt>
                <c:pt idx="66">
                  <c:v>-6.3918919468178315</c:v>
                </c:pt>
                <c:pt idx="67">
                  <c:v>-6.5395218128050541</c:v>
                </c:pt>
                <c:pt idx="68">
                  <c:v>-6.6905015177826259</c:v>
                </c:pt>
                <c:pt idx="69">
                  <c:v>-6.8449028465753425</c:v>
                </c:pt>
                <c:pt idx="70">
                  <c:v>-7.0027988234264535</c:v>
                </c:pt>
                <c:pt idx="71">
                  <c:v>-7.1642637115693155</c:v>
                </c:pt>
                <c:pt idx="72">
                  <c:v>-7.329373010887771</c:v>
                </c:pt>
                <c:pt idx="73">
                  <c:v>-7.4982034535061954</c:v>
                </c:pt>
                <c:pt idx="74">
                  <c:v>-7.6708329971429841</c:v>
                </c:pt>
                <c:pt idx="75">
                  <c:v>-7.8473408160497682</c:v>
                </c:pt>
                <c:pt idx="76">
                  <c:v>-8.027807289349969</c:v>
                </c:pt>
                <c:pt idx="77">
                  <c:v>-8.2123139865791046</c:v>
                </c:pt>
                <c:pt idx="78">
                  <c:v>-8.400943650219423</c:v>
                </c:pt>
                <c:pt idx="79">
                  <c:v>-8.5937801750105525</c:v>
                </c:pt>
                <c:pt idx="80">
                  <c:v>-8.7909085838059138</c:v>
                </c:pt>
                <c:pt idx="81">
                  <c:v>-8.9924149997353524</c:v>
                </c:pt>
                <c:pt idx="82">
                  <c:v>-9.1983866144208655</c:v>
                </c:pt>
                <c:pt idx="83">
                  <c:v>-9.4089116519817555</c:v>
                </c:pt>
                <c:pt idx="84">
                  <c:v>-9.6240793285555224</c:v>
                </c:pt>
                <c:pt idx="85">
                  <c:v>-9.8439798070456046</c:v>
                </c:pt>
                <c:pt idx="86">
                  <c:v>-10.068704146800984</c:v>
                </c:pt>
                <c:pt idx="87">
                  <c:v>-10.298344247915489</c:v>
                </c:pt>
                <c:pt idx="88">
                  <c:v>-10.532992789830516</c:v>
                </c:pt>
                <c:pt idx="89">
                  <c:v>-10.772743163907435</c:v>
                </c:pt>
                <c:pt idx="90">
                  <c:v>-11.017689399633921</c:v>
                </c:pt>
                <c:pt idx="91">
                  <c:v>-11.267926084111631</c:v>
                </c:pt>
                <c:pt idx="92">
                  <c:v>-11.523548274472319</c:v>
                </c:pt>
                <c:pt idx="93">
                  <c:v>-11.784651402856172</c:v>
                </c:pt>
                <c:pt idx="94">
                  <c:v>-12.051331173584781</c:v>
                </c:pt>
                <c:pt idx="95">
                  <c:v>-12.323683452155198</c:v>
                </c:pt>
                <c:pt idx="96">
                  <c:v>-12.601804145680671</c:v>
                </c:pt>
                <c:pt idx="97">
                  <c:v>-12.885789074402235</c:v>
                </c:pt>
                <c:pt idx="98">
                  <c:v>-13.175733833899359</c:v>
                </c:pt>
                <c:pt idx="99">
                  <c:v>-13.471733647631476</c:v>
                </c:pt>
                <c:pt idx="100">
                  <c:v>-13.773883209450357</c:v>
                </c:pt>
                <c:pt idx="101">
                  <c:v>-14.082276515737716</c:v>
                </c:pt>
                <c:pt idx="102">
                  <c:v>-14.397006686832786</c:v>
                </c:pt>
                <c:pt idx="103">
                  <c:v>-14.718165777438944</c:v>
                </c:pt>
                <c:pt idx="104">
                  <c:v>-15.045844575719411</c:v>
                </c:pt>
                <c:pt idx="105">
                  <c:v>-15.38013239082345</c:v>
                </c:pt>
                <c:pt idx="106">
                  <c:v>-15.721116828616674</c:v>
                </c:pt>
                <c:pt idx="107">
                  <c:v>-16.068883555433288</c:v>
                </c:pt>
                <c:pt idx="108">
                  <c:v>-16.423516049709249</c:v>
                </c:pt>
                <c:pt idx="109">
                  <c:v>-16.785095341416234</c:v>
                </c:pt>
                <c:pt idx="110">
                  <c:v>-17.153699739269797</c:v>
                </c:pt>
                <c:pt idx="111">
                  <c:v>-17.529404545759295</c:v>
                </c:pt>
                <c:pt idx="112">
                  <c:v>-17.91228176011856</c:v>
                </c:pt>
                <c:pt idx="113">
                  <c:v>-18.302399769444918</c:v>
                </c:pt>
                <c:pt idx="114">
                  <c:v>-18.699823028262998</c:v>
                </c:pt>
                <c:pt idx="115">
                  <c:v>-19.104611726934198</c:v>
                </c:pt>
                <c:pt idx="116">
                  <c:v>-19.516821449420164</c:v>
                </c:pt>
                <c:pt idx="117">
                  <c:v>-19.936502821029762</c:v>
                </c:pt>
                <c:pt idx="118">
                  <c:v>-20.363701146901832</c:v>
                </c:pt>
                <c:pt idx="119">
                  <c:v>-20.798456042117728</c:v>
                </c:pt>
                <c:pt idx="120">
                  <c:v>-21.240801054471707</c:v>
                </c:pt>
                <c:pt idx="121">
                  <c:v>-21.690763281086074</c:v>
                </c:pt>
                <c:pt idx="122">
                  <c:v>-22.148362980205942</c:v>
                </c:pt>
                <c:pt idx="123">
                  <c:v>-22.613613179676133</c:v>
                </c:pt>
                <c:pt idx="124">
                  <c:v>-23.086519283762289</c:v>
                </c:pt>
                <c:pt idx="125">
                  <c:v>-23.567078680150743</c:v>
                </c:pt>
                <c:pt idx="126">
                  <c:v>-24.055280349126321</c:v>
                </c:pt>
                <c:pt idx="127">
                  <c:v>-24.551104477093087</c:v>
                </c:pt>
                <c:pt idx="128">
                  <c:v>-25.054522076771779</c:v>
                </c:pt>
                <c:pt idx="129">
                  <c:v>-25.56549461656099</c:v>
                </c:pt>
                <c:pt idx="130">
                  <c:v>-26.08397366169353</c:v>
                </c:pt>
                <c:pt idx="131">
                  <c:v>-26.609900529968069</c:v>
                </c:pt>
                <c:pt idx="132">
                  <c:v>-27.143205964944887</c:v>
                </c:pt>
                <c:pt idx="133">
                  <c:v>-27.683809829611903</c:v>
                </c:pt>
                <c:pt idx="134">
                  <c:v>-28.231620823596703</c:v>
                </c:pt>
                <c:pt idx="135">
                  <c:v>-28.786536227073739</c:v>
                </c:pt>
                <c:pt idx="136">
                  <c:v>-29.34844167453463</c:v>
                </c:pt>
                <c:pt idx="137">
                  <c:v>-29.917210961597046</c:v>
                </c:pt>
                <c:pt idx="138">
                  <c:v>-30.492705887987778</c:v>
                </c:pt>
                <c:pt idx="139">
                  <c:v>-31.074776139774183</c:v>
                </c:pt>
                <c:pt idx="140">
                  <c:v>-31.663259213794806</c:v>
                </c:pt>
                <c:pt idx="141">
                  <c:v>-32.257980387100638</c:v>
                </c:pt>
                <c:pt idx="142">
                  <c:v>-32.85875273402057</c:v>
                </c:pt>
                <c:pt idx="143">
                  <c:v>-33.465377193224228</c:v>
                </c:pt>
                <c:pt idx="144">
                  <c:v>-34.077642686881084</c:v>
                </c:pt>
                <c:pt idx="145">
                  <c:v>-34.695326293688794</c:v>
                </c:pt>
                <c:pt idx="146">
                  <c:v>-35.318193477178497</c:v>
                </c:pt>
                <c:pt idx="147">
                  <c:v>-35.945998370305368</c:v>
                </c:pt>
                <c:pt idx="148">
                  <c:v>-36.578484116892298</c:v>
                </c:pt>
                <c:pt idx="149">
                  <c:v>-37.21538327002763</c:v>
                </c:pt>
                <c:pt idx="150">
                  <c:v>-37.856418247020166</c:v>
                </c:pt>
                <c:pt idx="151">
                  <c:v>-38.501301840004899</c:v>
                </c:pt>
                <c:pt idx="152">
                  <c:v>-39.149737780760923</c:v>
                </c:pt>
                <c:pt idx="153">
                  <c:v>-39.801421357772803</c:v>
                </c:pt>
                <c:pt idx="154">
                  <c:v>-40.456040083029521</c:v>
                </c:pt>
                <c:pt idx="155">
                  <c:v>-41.113274405545852</c:v>
                </c:pt>
                <c:pt idx="156">
                  <c:v>-41.772798468072914</c:v>
                </c:pt>
                <c:pt idx="157">
                  <c:v>-42.434280903005138</c:v>
                </c:pt>
                <c:pt idx="158">
                  <c:v>-43.097385663037585</c:v>
                </c:pt>
                <c:pt idx="159">
                  <c:v>-43.761772881743113</c:v>
                </c:pt>
                <c:pt idx="160">
                  <c:v>-44.427099758882619</c:v>
                </c:pt>
                <c:pt idx="161">
                  <c:v>-45.093021464975386</c:v>
                </c:pt>
                <c:pt idx="162">
                  <c:v>-45.759192059433751</c:v>
                </c:pt>
                <c:pt idx="163">
                  <c:v>-46.425265416396627</c:v>
                </c:pt>
                <c:pt idx="164">
                  <c:v>-47.090896152310009</c:v>
                </c:pt>
                <c:pt idx="165">
                  <c:v>-47.755740549283587</c:v>
                </c:pt>
                <c:pt idx="166">
                  <c:v>-48.419457468296578</c:v>
                </c:pt>
                <c:pt idx="167">
                  <c:v>-49.081709246456413</c:v>
                </c:pt>
                <c:pt idx="168">
                  <c:v>-49.742162572700231</c:v>
                </c:pt>
                <c:pt idx="169">
                  <c:v>-50.400489336580485</c:v>
                </c:pt>
                <c:pt idx="170">
                  <c:v>-51.056367445096029</c:v>
                </c:pt>
                <c:pt idx="171">
                  <c:v>-51.709481602898812</c:v>
                </c:pt>
                <c:pt idx="172">
                  <c:v>-52.35952405161801</c:v>
                </c:pt>
                <c:pt idx="173">
                  <c:v>-53.006195264503702</c:v>
                </c:pt>
                <c:pt idx="174">
                  <c:v>-53.649204593076561</c:v>
                </c:pt>
                <c:pt idx="175">
                  <c:v>-54.288270862984369</c:v>
                </c:pt>
                <c:pt idx="176">
                  <c:v>-54.923122916793318</c:v>
                </c:pt>
                <c:pt idx="177">
                  <c:v>-55.553500101969419</c:v>
                </c:pt>
                <c:pt idx="178">
                  <c:v>-56.179152702844661</c:v>
                </c:pt>
                <c:pt idx="179">
                  <c:v>-56.799842315880596</c:v>
                </c:pt>
                <c:pt idx="180">
                  <c:v>-57.415342168051652</c:v>
                </c:pt>
                <c:pt idx="181">
                  <c:v>-58.025437378651908</c:v>
                </c:pt>
                <c:pt idx="182">
                  <c:v>-58.629925165288348</c:v>
                </c:pt>
                <c:pt idx="183">
                  <c:v>-59.228614995244421</c:v>
                </c:pt>
                <c:pt idx="184">
                  <c:v>-59.821328683785495</c:v>
                </c:pt>
                <c:pt idx="185">
                  <c:v>-60.407900441326007</c:v>
                </c:pt>
                <c:pt idx="186">
                  <c:v>-60.988176871673808</c:v>
                </c:pt>
                <c:pt idx="187">
                  <c:v>-61.562016923847303</c:v>
                </c:pt>
                <c:pt idx="188">
                  <c:v>-62.129291800158576</c:v>
                </c:pt>
                <c:pt idx="189">
                  <c:v>-62.689884823443258</c:v>
                </c:pt>
                <c:pt idx="190">
                  <c:v>-63.243691266451094</c:v>
                </c:pt>
                <c:pt idx="191">
                  <c:v>-63.790618146497891</c:v>
                </c:pt>
                <c:pt idx="192">
                  <c:v>-64.330583988540155</c:v>
                </c:pt>
                <c:pt idx="193">
                  <c:v>-64.863518559848515</c:v>
                </c:pt>
                <c:pt idx="194">
                  <c:v>-65.389362579445859</c:v>
                </c:pt>
                <c:pt idx="195">
                  <c:v>-65.908067405430032</c:v>
                </c:pt>
                <c:pt idx="196">
                  <c:v>-66.419594703235418</c:v>
                </c:pt>
                <c:pt idx="197">
                  <c:v>-66.923916097786261</c:v>
                </c:pt>
                <c:pt idx="198">
                  <c:v>-67.421012812394792</c:v>
                </c:pt>
                <c:pt idx="199">
                  <c:v>-67.91087529711713</c:v>
                </c:pt>
                <c:pt idx="200">
                  <c:v>-68.393502849142664</c:v>
                </c:pt>
                <c:pt idx="201">
                  <c:v>-68.868903227640104</c:v>
                </c:pt>
                <c:pt idx="202">
                  <c:v>-69.337092265322198</c:v>
                </c:pt>
                <c:pt idx="203">
                  <c:v>-69.79809347882599</c:v>
                </c:pt>
                <c:pt idx="204">
                  <c:v>-70.251937679838989</c:v>
                </c:pt>
                <c:pt idx="205">
                  <c:v>-70.698662588731651</c:v>
                </c:pt>
                <c:pt idx="206">
                  <c:v>-71.138312452293704</c:v>
                </c:pt>
                <c:pt idx="207">
                  <c:v>-71.570937667002596</c:v>
                </c:pt>
                <c:pt idx="208">
                  <c:v>-71.996594409099217</c:v>
                </c:pt>
                <c:pt idx="209">
                  <c:v>-72.415344272589834</c:v>
                </c:pt>
                <c:pt idx="210">
                  <c:v>-72.827253916144215</c:v>
                </c:pt>
                <c:pt idx="211">
                  <c:v>-73.232394719726813</c:v>
                </c:pt>
                <c:pt idx="212">
                  <c:v>-73.630842451658168</c:v>
                </c:pt>
                <c:pt idx="213">
                  <c:v>-74.022676946687398</c:v>
                </c:pt>
                <c:pt idx="214">
                  <c:v>-74.407981795537509</c:v>
                </c:pt>
                <c:pt idx="215">
                  <c:v>-74.786844046280521</c:v>
                </c:pt>
                <c:pt idx="216">
                  <c:v>-75.159353917802306</c:v>
                </c:pt>
                <c:pt idx="217">
                  <c:v>-75.525604525526958</c:v>
                </c:pt>
                <c:pt idx="218">
                  <c:v>-75.885691619489975</c:v>
                </c:pt>
                <c:pt idx="219">
                  <c:v>-76.239713334777505</c:v>
                </c:pt>
                <c:pt idx="220">
                  <c:v>-76.587769954282606</c:v>
                </c:pt>
                <c:pt idx="221">
                  <c:v>-76.929963683674188</c:v>
                </c:pt>
                <c:pt idx="222">
                  <c:v>-77.266398438419074</c:v>
                </c:pt>
                <c:pt idx="223">
                  <c:v>-77.597179642661061</c:v>
                </c:pt>
                <c:pt idx="224">
                  <c:v>-77.922414039712891</c:v>
                </c:pt>
                <c:pt idx="225">
                  <c:v>-78.242209513895446</c:v>
                </c:pt>
                <c:pt idx="226">
                  <c:v>-78.556674923423273</c:v>
                </c:pt>
                <c:pt idx="227">
                  <c:v>-78.865919944016412</c:v>
                </c:pt>
                <c:pt idx="228">
                  <c:v>-79.170054922902395</c:v>
                </c:pt>
                <c:pt idx="229">
                  <c:v>-79.469190742856313</c:v>
                </c:pt>
                <c:pt idx="230">
                  <c:v>-79.763438695915909</c:v>
                </c:pt>
                <c:pt idx="231">
                  <c:v>-80.052910366405882</c:v>
                </c:pt>
                <c:pt idx="232">
                  <c:v>-80.337717522896014</c:v>
                </c:pt>
                <c:pt idx="233">
                  <c:v>-80.617972018722597</c:v>
                </c:pt>
                <c:pt idx="234">
                  <c:v>-80.893785700696526</c:v>
                </c:pt>
                <c:pt idx="235">
                  <c:v>-81.165270325631255</c:v>
                </c:pt>
                <c:pt idx="236">
                  <c:v>-81.432537484322793</c:v>
                </c:pt>
                <c:pt idx="237">
                  <c:v>-81.695698532622814</c:v>
                </c:pt>
                <c:pt idx="238">
                  <c:v>-81.954864529252959</c:v>
                </c:pt>
                <c:pt idx="239">
                  <c:v>-82.210146180015272</c:v>
                </c:pt>
                <c:pt idx="240">
                  <c:v>-82.461653788063856</c:v>
                </c:pt>
                <c:pt idx="241">
                  <c:v>-82.709497209913479</c:v>
                </c:pt>
                <c:pt idx="242">
                  <c:v>-82.953785816868518</c:v>
                </c:pt>
                <c:pt idx="243">
                  <c:v>-83.194628461568684</c:v>
                </c:pt>
                <c:pt idx="244">
                  <c:v>-83.43213344935829</c:v>
                </c:pt>
                <c:pt idx="245">
                  <c:v>-83.666408514196405</c:v>
                </c:pt>
                <c:pt idx="246">
                  <c:v>-83.897560798836381</c:v>
                </c:pt>
                <c:pt idx="247">
                  <c:v>-84.125696839015646</c:v>
                </c:pt>
                <c:pt idx="248">
                  <c:v>-84.350922551405773</c:v>
                </c:pt>
                <c:pt idx="249">
                  <c:v>-84.573343225085594</c:v>
                </c:pt>
                <c:pt idx="250">
                  <c:v>-84.793063516309488</c:v>
                </c:pt>
                <c:pt idx="251">
                  <c:v>-85.010187446354195</c:v>
                </c:pt>
                <c:pt idx="252">
                  <c:v>-85.224818402237375</c:v>
                </c:pt>
                <c:pt idx="253">
                  <c:v>-85.437059140111216</c:v>
                </c:pt>
                <c:pt idx="254">
                  <c:v>-85.647011791143214</c:v>
                </c:pt>
                <c:pt idx="255">
                  <c:v>-85.854777869706908</c:v>
                </c:pt>
                <c:pt idx="256">
                  <c:v>-86.060458283711554</c:v>
                </c:pt>
                <c:pt idx="257">
                  <c:v>-86.264153346911613</c:v>
                </c:pt>
                <c:pt idx="258">
                  <c:v>-86.465962793040902</c:v>
                </c:pt>
                <c:pt idx="259">
                  <c:v>-86.665985791627421</c:v>
                </c:pt>
                <c:pt idx="260">
                  <c:v>-86.864320965349492</c:v>
                </c:pt>
                <c:pt idx="261">
                  <c:v>-87.061066408801111</c:v>
                </c:pt>
                <c:pt idx="262">
                  <c:v>-87.256319708542421</c:v>
                </c:pt>
                <c:pt idx="263">
                  <c:v>-87.450177964313824</c:v>
                </c:pt>
                <c:pt idx="264">
                  <c:v>-87.64273781130106</c:v>
                </c:pt>
                <c:pt idx="265">
                  <c:v>-87.834095443340829</c:v>
                </c:pt>
                <c:pt idx="266">
                  <c:v>-88.024346636963273</c:v>
                </c:pt>
                <c:pt idx="267">
                  <c:v>-88.213586776170629</c:v>
                </c:pt>
                <c:pt idx="268">
                  <c:v>-88.401910877855059</c:v>
                </c:pt>
                <c:pt idx="269">
                  <c:v>-88.589413617763185</c:v>
                </c:pt>
                <c:pt idx="270">
                  <c:v>-88.776189356916518</c:v>
                </c:pt>
                <c:pt idx="271">
                  <c:v>-88.96233216840092</c:v>
                </c:pt>
                <c:pt idx="272">
                  <c:v>-89.147935864438651</c:v>
                </c:pt>
                <c:pt idx="273">
                  <c:v>-89.333094023661019</c:v>
                </c:pt>
                <c:pt idx="274">
                  <c:v>-89.517900018498437</c:v>
                </c:pt>
                <c:pt idx="275">
                  <c:v>-89.702447042607346</c:v>
                </c:pt>
                <c:pt idx="276">
                  <c:v>-89.886828138254543</c:v>
                </c:pt>
                <c:pt idx="277">
                  <c:v>-90.071136223578165</c:v>
                </c:pt>
                <c:pt idx="278">
                  <c:v>-90.255464119646348</c:v>
                </c:pt>
                <c:pt idx="279">
                  <c:v>-90.43990457723325</c:v>
                </c:pt>
                <c:pt idx="280">
                  <c:v>-90.62455030323207</c:v>
                </c:pt>
                <c:pt idx="281">
                  <c:v>-90.809493986622698</c:v>
                </c:pt>
                <c:pt idx="282">
                  <c:v>-90.99482832391196</c:v>
                </c:pt>
                <c:pt idx="283">
                  <c:v>-91.180646043960394</c:v>
                </c:pt>
                <c:pt idx="284">
                  <c:v>-91.367039932110345</c:v>
                </c:pt>
                <c:pt idx="285">
                  <c:v>-91.554102853524611</c:v>
                </c:pt>
                <c:pt idx="286">
                  <c:v>-91.741927775645152</c:v>
                </c:pt>
                <c:pt idx="287">
                  <c:v>-91.930607789676344</c:v>
                </c:pt>
                <c:pt idx="288">
                  <c:v>-92.120236130994499</c:v>
                </c:pt>
                <c:pt idx="289">
                  <c:v>-92.310906198382852</c:v>
                </c:pt>
                <c:pt idx="290">
                  <c:v>-92.502711571984946</c:v>
                </c:pt>
                <c:pt idx="291">
                  <c:v>-92.69574602986782</c:v>
                </c:pt>
                <c:pt idx="292">
                  <c:v>-92.890103563080089</c:v>
                </c:pt>
                <c:pt idx="293">
                  <c:v>-93.08587838908592</c:v>
                </c:pt>
                <c:pt idx="294">
                  <c:v>-93.283164963451156</c:v>
                </c:pt>
                <c:pt idx="295">
                  <c:v>-93.482057989651949</c:v>
                </c:pt>
                <c:pt idx="296">
                  <c:v>-93.68265242687221</c:v>
                </c:pt>
                <c:pt idx="297">
                  <c:v>-93.8850434956491</c:v>
                </c:pt>
                <c:pt idx="298">
                  <c:v>-94.08932668122084</c:v>
                </c:pt>
                <c:pt idx="299">
                  <c:v>-94.295597734426522</c:v>
                </c:pt>
                <c:pt idx="300">
                  <c:v>-94.50395266999935</c:v>
                </c:pt>
                <c:pt idx="301">
                  <c:v>-94.714487762090471</c:v>
                </c:pt>
                <c:pt idx="302">
                  <c:v>-94.927299536855841</c:v>
                </c:pt>
                <c:pt idx="303">
                  <c:v>-95.142484761930163</c:v>
                </c:pt>
                <c:pt idx="304">
                  <c:v>-95.360140432609086</c:v>
                </c:pt>
                <c:pt idx="305">
                  <c:v>-95.580363754553829</c:v>
                </c:pt>
                <c:pt idx="306">
                  <c:v>-95.803252122829093</c:v>
                </c:pt>
                <c:pt idx="307">
                  <c:v>-96.028903097079905</c:v>
                </c:pt>
                <c:pt idx="308">
                  <c:v>-96.257414372648626</c:v>
                </c:pt>
                <c:pt idx="309">
                  <c:v>-96.488883747431942</c:v>
                </c:pt>
                <c:pt idx="310">
                  <c:v>-96.723409084273328</c:v>
                </c:pt>
                <c:pt idx="311">
                  <c:v>-96.961088268686893</c:v>
                </c:pt>
                <c:pt idx="312">
                  <c:v>-97.202019161707625</c:v>
                </c:pt>
                <c:pt idx="313">
                  <c:v>-97.446299547661951</c:v>
                </c:pt>
                <c:pt idx="314">
                  <c:v>-97.694027076660831</c:v>
                </c:pt>
                <c:pt idx="315">
                  <c:v>-97.945299201612656</c:v>
                </c:pt>
                <c:pt idx="316">
                  <c:v>-98.200213109570143</c:v>
                </c:pt>
                <c:pt idx="317">
                  <c:v>-98.458865647223718</c:v>
                </c:pt>
                <c:pt idx="318">
                  <c:v>-98.721353240369538</c:v>
                </c:pt>
                <c:pt idx="319">
                  <c:v>-98.987771807194179</c:v>
                </c:pt>
                <c:pt idx="320">
                  <c:v>-99.258216665228602</c:v>
                </c:pt>
                <c:pt idx="321">
                  <c:v>-99.532782431850151</c:v>
                </c:pt>
                <c:pt idx="322">
                  <c:v>-99.811562918225633</c:v>
                </c:pt>
                <c:pt idx="323">
                  <c:v>-100.09465101662218</c:v>
                </c:pt>
                <c:pt idx="324">
                  <c:v>-100.38213858103688</c:v>
                </c:pt>
                <c:pt idx="325">
                  <c:v>-100.67411630113202</c:v>
                </c:pt>
                <c:pt idx="326">
                  <c:v>-100.970673569502</c:v>
                </c:pt>
                <c:pt idx="327">
                  <c:v>-101.27189834233836</c:v>
                </c:pt>
                <c:pt idx="328">
                  <c:v>-101.57787699361114</c:v>
                </c:pt>
                <c:pt idx="329">
                  <c:v>-101.88869416293288</c:v>
                </c:pt>
                <c:pt idx="330">
                  <c:v>-102.20443259733234</c:v>
                </c:pt>
                <c:pt idx="331">
                  <c:v>-102.5251729872282</c:v>
                </c:pt>
                <c:pt idx="332">
                  <c:v>-102.85099379695902</c:v>
                </c:pt>
                <c:pt idx="333">
                  <c:v>-103.18197109030157</c:v>
                </c:pt>
                <c:pt idx="334">
                  <c:v>-103.51817835148515</c:v>
                </c:pt>
                <c:pt idx="335">
                  <c:v>-103.85968630229726</c:v>
                </c:pt>
                <c:pt idx="336">
                  <c:v>-104.20656271595506</c:v>
                </c:pt>
                <c:pt idx="337">
                  <c:v>-104.55887222851823</c:v>
                </c:pt>
                <c:pt idx="338">
                  <c:v>-104.91667614870602</c:v>
                </c:pt>
                <c:pt idx="339">
                  <c:v>-105.28003226707899</c:v>
                </c:pt>
                <c:pt idx="340">
                  <c:v>-105.64899466564782</c:v>
                </c:pt>
                <c:pt idx="341">
                  <c:v>-106.02361352906483</c:v>
                </c:pt>
                <c:pt idx="342">
                  <c:v>-106.40393495865636</c:v>
                </c:pt>
                <c:pt idx="343">
                  <c:v>-106.7900007906438</c:v>
                </c:pt>
                <c:pt idx="344">
                  <c:v>-107.18184841999584</c:v>
                </c:pt>
                <c:pt idx="345">
                  <c:v>-107.57951063143597</c:v>
                </c:pt>
                <c:pt idx="346">
                  <c:v>-107.98301543920934</c:v>
                </c:pt>
                <c:pt idx="347">
                  <c:v>-108.39238593726998</c:v>
                </c:pt>
                <c:pt idx="348">
                  <c:v>-108.80764016161532</c:v>
                </c:pt>
                <c:pt idx="349">
                  <c:v>-109.22879096652032</c:v>
                </c:pt>
                <c:pt idx="350">
                  <c:v>-109.65584591644765</c:v>
                </c:pt>
                <c:pt idx="351">
                  <c:v>-110.08880719541094</c:v>
                </c:pt>
                <c:pt idx="352">
                  <c:v>-110.5276715355408</c:v>
                </c:pt>
                <c:pt idx="353">
                  <c:v>-110.9724301665532</c:v>
                </c:pt>
                <c:pt idx="354">
                  <c:v>-111.42306878774582</c:v>
                </c:pt>
                <c:pt idx="355">
                  <c:v>-111.87956756402876</c:v>
                </c:pt>
                <c:pt idx="356">
                  <c:v>-112.34190114737305</c:v>
                </c:pt>
                <c:pt idx="357">
                  <c:v>-112.81003872486794</c:v>
                </c:pt>
                <c:pt idx="358">
                  <c:v>-113.28394409438189</c:v>
                </c:pt>
                <c:pt idx="359">
                  <c:v>-113.76357576857653</c:v>
                </c:pt>
                <c:pt idx="360">
                  <c:v>-114.24888710774265</c:v>
                </c:pt>
                <c:pt idx="361">
                  <c:v>-114.73982648162051</c:v>
                </c:pt>
                <c:pt idx="362">
                  <c:v>-115.23633746002808</c:v>
                </c:pt>
                <c:pt idx="363">
                  <c:v>-115.73835903174538</c:v>
                </c:pt>
                <c:pt idx="364">
                  <c:v>-116.24582585071447</c:v>
                </c:pt>
                <c:pt idx="365">
                  <c:v>-116.75866850820411</c:v>
                </c:pt>
                <c:pt idx="366">
                  <c:v>-117.27681382915964</c:v>
                </c:pt>
                <c:pt idx="367">
                  <c:v>-117.80018519052489</c:v>
                </c:pt>
                <c:pt idx="368">
                  <c:v>-118.32870285890169</c:v>
                </c:pt>
                <c:pt idx="369">
                  <c:v>-118.86228434447835</c:v>
                </c:pt>
                <c:pt idx="370">
                  <c:v>-119.40084476777051</c:v>
                </c:pt>
                <c:pt idx="371">
                  <c:v>-119.94429723533329</c:v>
                </c:pt>
                <c:pt idx="372">
                  <c:v>-120.49255322027842</c:v>
                </c:pt>
                <c:pt idx="373">
                  <c:v>-121.04552294313361</c:v>
                </c:pt>
                <c:pt idx="374">
                  <c:v>-121.60311574836481</c:v>
                </c:pt>
                <c:pt idx="375">
                  <c:v>-122.16524047170762</c:v>
                </c:pt>
                <c:pt idx="376">
                  <c:v>-122.73180579337922</c:v>
                </c:pt>
                <c:pt idx="377">
                  <c:v>-123.30272057223185</c:v>
                </c:pt>
                <c:pt idx="378">
                  <c:v>-123.87789415599781</c:v>
                </c:pt>
                <c:pt idx="379">
                  <c:v>-124.4572366629462</c:v>
                </c:pt>
                <c:pt idx="380">
                  <c:v>-125.04065923055718</c:v>
                </c:pt>
                <c:pt idx="381">
                  <c:v>-125.62807422716619</c:v>
                </c:pt>
                <c:pt idx="382">
                  <c:v>-126.21939542301259</c:v>
                </c:pt>
                <c:pt idx="383">
                  <c:v>-126.81453811765633</c:v>
                </c:pt>
                <c:pt idx="384">
                  <c:v>-127.41341922136186</c:v>
                </c:pt>
                <c:pt idx="385">
                  <c:v>-128.01595728875341</c:v>
                </c:pt>
                <c:pt idx="386">
                  <c:v>-128.62207250380112</c:v>
                </c:pt>
                <c:pt idx="387">
                  <c:v>-129.23168661600803</c:v>
                </c:pt>
                <c:pt idx="388">
                  <c:v>-129.8447228285111</c:v>
                </c:pt>
                <c:pt idx="389">
                  <c:v>-130.46110563966968</c:v>
                </c:pt>
                <c:pt idx="390">
                  <c:v>-131.08076064056451</c:v>
                </c:pt>
                <c:pt idx="391">
                  <c:v>-131.70361427166748</c:v>
                </c:pt>
                <c:pt idx="392">
                  <c:v>-132.329593542753</c:v>
                </c:pt>
                <c:pt idx="393">
                  <c:v>-132.95862572084908</c:v>
                </c:pt>
                <c:pt idx="394">
                  <c:v>-133.59063799170903</c:v>
                </c:pt>
                <c:pt idx="395">
                  <c:v>-134.22555710086229</c:v>
                </c:pt>
                <c:pt idx="396">
                  <c:v>-134.86330898079331</c:v>
                </c:pt>
                <c:pt idx="397">
                  <c:v>-135.50381837114887</c:v>
                </c:pt>
                <c:pt idx="398">
                  <c:v>-136.14700843914312</c:v>
                </c:pt>
                <c:pt idx="399">
                  <c:v>-136.79280040742509</c:v>
                </c:pt>
                <c:pt idx="400">
                  <c:v>-137.44111319666959</c:v>
                </c:pt>
                <c:pt idx="401">
                  <c:v>-138.09186308999924</c:v>
                </c:pt>
                <c:pt idx="402">
                  <c:v>-138.74496342606679</c:v>
                </c:pt>
                <c:pt idx="403">
                  <c:v>-139.40032432721705</c:v>
                </c:pt>
                <c:pt idx="404">
                  <c:v>-140.05785246863263</c:v>
                </c:pt>
                <c:pt idx="405">
                  <c:v>-140.71745089373326</c:v>
                </c:pt>
                <c:pt idx="406">
                  <c:v>-141.37901888038306</c:v>
                </c:pt>
                <c:pt idx="407">
                  <c:v>-142.04245186165545</c:v>
                </c:pt>
                <c:pt idx="408">
                  <c:v>-142.70764140405072</c:v>
                </c:pt>
                <c:pt idx="409">
                  <c:v>-143.37447524516139</c:v>
                </c:pt>
                <c:pt idx="410">
                  <c:v>-144.04283739184021</c:v>
                </c:pt>
                <c:pt idx="411">
                  <c:v>-144.71260827901645</c:v>
                </c:pt>
                <c:pt idx="412">
                  <c:v>-145.38366498835529</c:v>
                </c:pt>
                <c:pt idx="413">
                  <c:v>-146.05588152509006</c:v>
                </c:pt>
                <c:pt idx="414">
                  <c:v>-146.72912915049363</c:v>
                </c:pt>
                <c:pt idx="415">
                  <c:v>-147.40327676668144</c:v>
                </c:pt>
                <c:pt idx="416">
                  <c:v>-148.07819134971885</c:v>
                </c:pt>
                <c:pt idx="417">
                  <c:v>-148.75373842638578</c:v>
                </c:pt>
                <c:pt idx="418">
                  <c:v>-149.42978258940983</c:v>
                </c:pt>
                <c:pt idx="419">
                  <c:v>-150.10618804555915</c:v>
                </c:pt>
                <c:pt idx="420">
                  <c:v>-150.78281919063528</c:v>
                </c:pt>
                <c:pt idx="421">
                  <c:v>-151.45954120520378</c:v>
                </c:pt>
                <c:pt idx="422">
                  <c:v>-152.13622066475602</c:v>
                </c:pt>
                <c:pt idx="423">
                  <c:v>-152.81272615799472</c:v>
                </c:pt>
                <c:pt idx="424">
                  <c:v>-153.48892890699858</c:v>
                </c:pt>
                <c:pt idx="425">
                  <c:v>-154.16470338319601</c:v>
                </c:pt>
                <c:pt idx="426">
                  <c:v>-154.83992791331815</c:v>
                </c:pt>
                <c:pt idx="427">
                  <c:v>-155.51448526982361</c:v>
                </c:pt>
                <c:pt idx="428">
                  <c:v>-156.1882632406776</c:v>
                </c:pt>
                <c:pt idx="429">
                  <c:v>-156.86115517378809</c:v>
                </c:pt>
                <c:pt idx="430">
                  <c:v>-157.53306049188495</c:v>
                </c:pt>
                <c:pt idx="431">
                  <c:v>-158.20388517413431</c:v>
                </c:pt>
                <c:pt idx="432">
                  <c:v>-158.87354220129501</c:v>
                </c:pt>
                <c:pt idx="433">
                  <c:v>-159.54195196176425</c:v>
                </c:pt>
                <c:pt idx="434">
                  <c:v>-160.20904261638589</c:v>
                </c:pt>
                <c:pt idx="435">
                  <c:v>-160.87475042041694</c:v>
                </c:pt>
                <c:pt idx="436">
                  <c:v>-161.53902000155188</c:v>
                </c:pt>
                <c:pt idx="437">
                  <c:v>-162.20180459338246</c:v>
                </c:pt>
                <c:pt idx="438">
                  <c:v>-162.86306622412124</c:v>
                </c:pt>
                <c:pt idx="439">
                  <c:v>-163.52277586082698</c:v>
                </c:pt>
                <c:pt idx="440">
                  <c:v>-164.18091350975251</c:v>
                </c:pt>
                <c:pt idx="441">
                  <c:v>-164.83746827376171</c:v>
                </c:pt>
                <c:pt idx="442">
                  <c:v>-165.49243836806036</c:v>
                </c:pt>
                <c:pt idx="443">
                  <c:v>-166.14583109573397</c:v>
                </c:pt>
                <c:pt idx="444">
                  <c:v>-166.7976627847876</c:v>
                </c:pt>
                <c:pt idx="445">
                  <c:v>-167.4479586885534</c:v>
                </c:pt>
                <c:pt idx="446">
                  <c:v>-168.09675285145124</c:v>
                </c:pt>
                <c:pt idx="447">
                  <c:v>-168.7440879421753</c:v>
                </c:pt>
                <c:pt idx="448">
                  <c:v>-169.39001505643134</c:v>
                </c:pt>
                <c:pt idx="449">
                  <c:v>-170.03459349136745</c:v>
                </c:pt>
                <c:pt idx="450">
                  <c:v>-170.67789049382759</c:v>
                </c:pt>
                <c:pt idx="451">
                  <c:v>-171.3199809845251</c:v>
                </c:pt>
                <c:pt idx="452">
                  <c:v>-171.96094726016716</c:v>
                </c:pt>
                <c:pt idx="453">
                  <c:v>-172.60087867548933</c:v>
                </c:pt>
                <c:pt idx="454">
                  <c:v>-173.23987130705581</c:v>
                </c:pt>
                <c:pt idx="455">
                  <c:v>-173.87802760058284</c:v>
                </c:pt>
                <c:pt idx="456">
                  <c:v>-174.5154560034126</c:v>
                </c:pt>
                <c:pt idx="457">
                  <c:v>-175.15227058365522</c:v>
                </c:pt>
                <c:pt idx="458">
                  <c:v>-175.78859063737389</c:v>
                </c:pt>
                <c:pt idx="459">
                  <c:v>-176.42454028506623</c:v>
                </c:pt>
                <c:pt idx="460">
                  <c:v>-177.06024805856367</c:v>
                </c:pt>
                <c:pt idx="461">
                  <c:v>-177.69584647934118</c:v>
                </c:pt>
                <c:pt idx="462">
                  <c:v>-178.33147162911132</c:v>
                </c:pt>
                <c:pt idx="463">
                  <c:v>-178.96726271345793</c:v>
                </c:pt>
                <c:pt idx="464">
                  <c:v>-179.60336161915788</c:v>
                </c:pt>
                <c:pt idx="465">
                  <c:v>179.76008753426149</c:v>
                </c:pt>
                <c:pt idx="466">
                  <c:v>179.12293884826497</c:v>
                </c:pt>
                <c:pt idx="467">
                  <c:v>178.48504510397404</c:v>
                </c:pt>
                <c:pt idx="468">
                  <c:v>177.84625822543302</c:v>
                </c:pt>
                <c:pt idx="469">
                  <c:v>177.20642974721255</c:v>
                </c:pt>
                <c:pt idx="470">
                  <c:v>176.56541128612716</c:v>
                </c:pt>
                <c:pt idx="471">
                  <c:v>175.92305501686494</c:v>
                </c:pt>
                <c:pt idx="472">
                  <c:v>175.27921415134662</c:v>
                </c:pt>
                <c:pt idx="473">
                  <c:v>174.6337434216185</c:v>
                </c:pt>
                <c:pt idx="474">
                  <c:v>173.98649956607662</c:v>
                </c:pt>
                <c:pt idx="475">
                  <c:v>173.33734181878307</c:v>
                </c:pt>
                <c:pt idx="476">
                  <c:v>172.68613240158828</c:v>
                </c:pt>
                <c:pt idx="477">
                  <c:v>172.03273701871751</c:v>
                </c:pt>
                <c:pt idx="478">
                  <c:v>171.37702535340131</c:v>
                </c:pt>
                <c:pt idx="479">
                  <c:v>170.71887156604433</c:v>
                </c:pt>
                <c:pt idx="480">
                  <c:v>170.05815479332551</c:v>
                </c:pt>
                <c:pt idx="481">
                  <c:v>169.39475964750994</c:v>
                </c:pt>
                <c:pt idx="482">
                  <c:v>168.72857671512645</c:v>
                </c:pt>
                <c:pt idx="483">
                  <c:v>168.0595030540334</c:v>
                </c:pt>
                <c:pt idx="484">
                  <c:v>167.3874426877459</c:v>
                </c:pt>
                <c:pt idx="485">
                  <c:v>166.71230709575048</c:v>
                </c:pt>
                <c:pt idx="486">
                  <c:v>166.03401569837084</c:v>
                </c:pt>
                <c:pt idx="487">
                  <c:v>165.35249633458591</c:v>
                </c:pt>
                <c:pt idx="488">
                  <c:v>164.66768573104019</c:v>
                </c:pt>
                <c:pt idx="489">
                  <c:v>163.97952996031182</c:v>
                </c:pt>
                <c:pt idx="490">
                  <c:v>163.28798488635198</c:v>
                </c:pt>
                <c:pt idx="491">
                  <c:v>162.59301659484021</c:v>
                </c:pt>
                <c:pt idx="492">
                  <c:v>161.89460180606045</c:v>
                </c:pt>
                <c:pt idx="493">
                  <c:v>161.19272826775236</c:v>
                </c:pt>
                <c:pt idx="494">
                  <c:v>160.4873951252813</c:v>
                </c:pt>
                <c:pt idx="495">
                  <c:v>159.77861326635053</c:v>
                </c:pt>
                <c:pt idx="496">
                  <c:v>159.06640563740447</c:v>
                </c:pt>
                <c:pt idx="497">
                  <c:v>158.35080752880341</c:v>
                </c:pt>
                <c:pt idx="498">
                  <c:v>157.63186682582298</c:v>
                </c:pt>
                <c:pt idx="499">
                  <c:v>156.90964422252819</c:v>
                </c:pt>
                <c:pt idx="500">
                  <c:v>156.18421339560248</c:v>
                </c:pt>
                <c:pt idx="501">
                  <c:v>155.45566113528926</c:v>
                </c:pt>
                <c:pt idx="502">
                  <c:v>154.72408743070656</c:v>
                </c:pt>
                <c:pt idx="503">
                  <c:v>153.98960550694952</c:v>
                </c:pt>
                <c:pt idx="504">
                  <c:v>153.25234181159331</c:v>
                </c:pt>
                <c:pt idx="505">
                  <c:v>152.51243594843851</c:v>
                </c:pt>
                <c:pt idx="506">
                  <c:v>151.77004055663085</c:v>
                </c:pt>
                <c:pt idx="507">
                  <c:v>151.0253211336057</c:v>
                </c:pt>
                <c:pt idx="508">
                  <c:v>150.27845580067236</c:v>
                </c:pt>
                <c:pt idx="509">
                  <c:v>149.52963501045809</c:v>
                </c:pt>
                <c:pt idx="510">
                  <c:v>148.77906119586959</c:v>
                </c:pt>
                <c:pt idx="511">
                  <c:v>148.02694836069242</c:v>
                </c:pt>
                <c:pt idx="512">
                  <c:v>147.2735216124475</c:v>
                </c:pt>
                <c:pt idx="513">
                  <c:v>146.51901663862984</c:v>
                </c:pt>
                <c:pt idx="514">
                  <c:v>145.76367912798565</c:v>
                </c:pt>
                <c:pt idx="515">
                  <c:v>145.00776413899595</c:v>
                </c:pt>
                <c:pt idx="516">
                  <c:v>144.25153541828246</c:v>
                </c:pt>
                <c:pt idx="517">
                  <c:v>143.49526467213835</c:v>
                </c:pt>
                <c:pt idx="518">
                  <c:v>142.7392307948991</c:v>
                </c:pt>
                <c:pt idx="519">
                  <c:v>141.98371905832104</c:v>
                </c:pt>
                <c:pt idx="520">
                  <c:v>141.22902026656109</c:v>
                </c:pt>
                <c:pt idx="521">
                  <c:v>140.47542988174354</c:v>
                </c:pt>
                <c:pt idx="522">
                  <c:v>139.72324712542076</c:v>
                </c:pt>
                <c:pt idx="523">
                  <c:v>138.97277406150968</c:v>
                </c:pt>
                <c:pt idx="524">
                  <c:v>138.2243146664963</c:v>
                </c:pt>
                <c:pt idx="525">
                  <c:v>137.47817389285333</c:v>
                </c:pt>
                <c:pt idx="526">
                  <c:v>136.73465673167289</c:v>
                </c:pt>
                <c:pt idx="527">
                  <c:v>135.99406728052793</c:v>
                </c:pt>
                <c:pt idx="528">
                  <c:v>135.256707822512</c:v>
                </c:pt>
                <c:pt idx="529">
                  <c:v>134.52287792225374</c:v>
                </c:pt>
                <c:pt idx="530">
                  <c:v>133.79287354451196</c:v>
                </c:pt>
                <c:pt idx="531">
                  <c:v>133.06698620067269</c:v>
                </c:pt>
                <c:pt idx="532">
                  <c:v>132.34550212815176</c:v>
                </c:pt>
                <c:pt idx="533">
                  <c:v>131.62870150731504</c:v>
                </c:pt>
                <c:pt idx="534">
                  <c:v>130.91685772011235</c:v>
                </c:pt>
                <c:pt idx="535">
                  <c:v>130.21023665414498</c:v>
                </c:pt>
                <c:pt idx="536">
                  <c:v>129.50909605540093</c:v>
                </c:pt>
                <c:pt idx="537">
                  <c:v>128.81368493236542</c:v>
                </c:pt>
                <c:pt idx="538">
                  <c:v>128.12424301369433</c:v>
                </c:pt>
                <c:pt idx="539">
                  <c:v>127.44100026109395</c:v>
                </c:pt>
                <c:pt idx="540">
                  <c:v>126.76417643852855</c:v>
                </c:pt>
                <c:pt idx="541">
                  <c:v>126.09398073833854</c:v>
                </c:pt>
              </c:numCache>
            </c:numRef>
          </c:yVal>
          <c:smooth val="1"/>
          <c:extLst>
            <c:ext xmlns:c16="http://schemas.microsoft.com/office/drawing/2014/chart" uri="{C3380CC4-5D6E-409C-BE32-E72D297353CC}">
              <c16:uniqueId val="{00000001-803D-44F5-B8E6-A5B9D3091231}"/>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36.887437403854861</c:v>
                </c:pt>
                <c:pt idx="1">
                  <c:v>36.68745733997384</c:v>
                </c:pt>
                <c:pt idx="2">
                  <c:v>36.48747821555456</c:v>
                </c:pt>
                <c:pt idx="3">
                  <c:v>36.287500074862969</c:v>
                </c:pt>
                <c:pt idx="4">
                  <c:v>36.087522964250226</c:v>
                </c:pt>
                <c:pt idx="5">
                  <c:v>35.887546932251027</c:v>
                </c:pt>
                <c:pt idx="6">
                  <c:v>35.687572029686379</c:v>
                </c:pt>
                <c:pt idx="7">
                  <c:v>35.487598309771123</c:v>
                </c:pt>
                <c:pt idx="8">
                  <c:v>35.287625828226709</c:v>
                </c:pt>
                <c:pt idx="9">
                  <c:v>35.087654643399219</c:v>
                </c:pt>
                <c:pt idx="10">
                  <c:v>34.887684816382887</c:v>
                </c:pt>
                <c:pt idx="11">
                  <c:v>34.687716411149594</c:v>
                </c:pt>
                <c:pt idx="12">
                  <c:v>34.487749494684032</c:v>
                </c:pt>
                <c:pt idx="13">
                  <c:v>34.28778413712579</c:v>
                </c:pt>
                <c:pt idx="14">
                  <c:v>34.087820411917725</c:v>
                </c:pt>
                <c:pt idx="15">
                  <c:v>33.887858395961374</c:v>
                </c:pt>
                <c:pt idx="16">
                  <c:v>33.687898169779821</c:v>
                </c:pt>
                <c:pt idx="17">
                  <c:v>33.487939817687952</c:v>
                </c:pt>
                <c:pt idx="18">
                  <c:v>33.287983427971142</c:v>
                </c:pt>
                <c:pt idx="19">
                  <c:v>33.08802909307169</c:v>
                </c:pt>
                <c:pt idx="20">
                  <c:v>32.888076909784594</c:v>
                </c:pt>
                <c:pt idx="21">
                  <c:v>32.688126979462375</c:v>
                </c:pt>
                <c:pt idx="22">
                  <c:v>32.488179408229229</c:v>
                </c:pt>
                <c:pt idx="23">
                  <c:v>32.288234307205592</c:v>
                </c:pt>
                <c:pt idx="24">
                  <c:v>32.088291792743114</c:v>
                </c:pt>
                <c:pt idx="25">
                  <c:v>31.888351986670411</c:v>
                </c:pt>
                <c:pt idx="26">
                  <c:v>31.688415016551016</c:v>
                </c:pt>
                <c:pt idx="27">
                  <c:v>31.488481015952484</c:v>
                </c:pt>
                <c:pt idx="28">
                  <c:v>31.288550124728953</c:v>
                </c:pt>
                <c:pt idx="29">
                  <c:v>31.088622489316467</c:v>
                </c:pt>
                <c:pt idx="30">
                  <c:v>30.888698263042404</c:v>
                </c:pt>
                <c:pt idx="31">
                  <c:v>30.688777606449218</c:v>
                </c:pt>
                <c:pt idx="32">
                  <c:v>30.488860687633306</c:v>
                </c:pt>
                <c:pt idx="33">
                  <c:v>30.288947682600075</c:v>
                </c:pt>
                <c:pt idx="34">
                  <c:v>30.08903877563521</c:v>
                </c:pt>
                <c:pt idx="35">
                  <c:v>29.889134159693679</c:v>
                </c:pt>
                <c:pt idx="36">
                  <c:v>29.689234036806475</c:v>
                </c:pt>
                <c:pt idx="37">
                  <c:v>29.489338618507198</c:v>
                </c:pt>
                <c:pt idx="38">
                  <c:v>29.289448126277364</c:v>
                </c:pt>
                <c:pt idx="39">
                  <c:v>29.089562792013893</c:v>
                </c:pt>
                <c:pt idx="40">
                  <c:v>28.889682858517208</c:v>
                </c:pt>
                <c:pt idx="41">
                  <c:v>28.689808580003163</c:v>
                </c:pt>
                <c:pt idx="42">
                  <c:v>28.48994022263787</c:v>
                </c:pt>
                <c:pt idx="43">
                  <c:v>28.290078065098307</c:v>
                </c:pt>
                <c:pt idx="44">
                  <c:v>28.090222399158591</c:v>
                </c:pt>
                <c:pt idx="45">
                  <c:v>27.890373530304021</c:v>
                </c:pt>
                <c:pt idx="46">
                  <c:v>27.690531778372829</c:v>
                </c:pt>
                <c:pt idx="47">
                  <c:v>27.490697478229002</c:v>
                </c:pt>
                <c:pt idx="48">
                  <c:v>27.290870980465339</c:v>
                </c:pt>
                <c:pt idx="49">
                  <c:v>27.091052652139926</c:v>
                </c:pt>
                <c:pt idx="50">
                  <c:v>26.891242877546667</c:v>
                </c:pt>
                <c:pt idx="51">
                  <c:v>26.691442059020996</c:v>
                </c:pt>
                <c:pt idx="52">
                  <c:v>26.491650617783957</c:v>
                </c:pt>
                <c:pt idx="53">
                  <c:v>26.291868994824835</c:v>
                </c:pt>
                <c:pt idx="54">
                  <c:v>26.092097651824503</c:v>
                </c:pt>
                <c:pt idx="55">
                  <c:v>25.892337072122299</c:v>
                </c:pt>
                <c:pt idx="56">
                  <c:v>25.692587761726621</c:v>
                </c:pt>
                <c:pt idx="57">
                  <c:v>25.49285025037301</c:v>
                </c:pt>
                <c:pt idx="58">
                  <c:v>25.293125092630561</c:v>
                </c:pt>
                <c:pt idx="59">
                  <c:v>25.093412869059915</c:v>
                </c:pt>
                <c:pt idx="60">
                  <c:v>24.893714187424148</c:v>
                </c:pt>
                <c:pt idx="61">
                  <c:v>24.69402968395547</c:v>
                </c:pt>
                <c:pt idx="62">
                  <c:v>24.494360024680176</c:v>
                </c:pt>
                <c:pt idx="63">
                  <c:v>24.294705906804651</c:v>
                </c:pt>
                <c:pt idx="64">
                  <c:v>24.095068060164849</c:v>
                </c:pt>
                <c:pt idx="65">
                  <c:v>23.895447248741707</c:v>
                </c:pt>
                <c:pt idx="66">
                  <c:v>23.695844272246632</c:v>
                </c:pt>
                <c:pt idx="67">
                  <c:v>23.496259967778808</c:v>
                </c:pt>
                <c:pt idx="68">
                  <c:v>23.296695211558401</c:v>
                </c:pt>
                <c:pt idx="69">
                  <c:v>23.097150920738301</c:v>
                </c:pt>
                <c:pt idx="70">
                  <c:v>22.897628055299037</c:v>
                </c:pt>
                <c:pt idx="71">
                  <c:v>22.698127620028327</c:v>
                </c:pt>
                <c:pt idx="72">
                  <c:v>22.49865066659174</c:v>
                </c:pt>
                <c:pt idx="73">
                  <c:v>22.299198295695838</c:v>
                </c:pt>
                <c:pt idx="74">
                  <c:v>22.09977165934972</c:v>
                </c:pt>
                <c:pt idx="75">
                  <c:v>21.900371963227276</c:v>
                </c:pt>
                <c:pt idx="76">
                  <c:v>21.701000469137167</c:v>
                </c:pt>
                <c:pt idx="77">
                  <c:v>21.501658497601678</c:v>
                </c:pt>
                <c:pt idx="78">
                  <c:v>21.302347430552331</c:v>
                </c:pt>
                <c:pt idx="79">
                  <c:v>21.103068714144531</c:v>
                </c:pt>
                <c:pt idx="80">
                  <c:v>20.903823861697923</c:v>
                </c:pt>
                <c:pt idx="81">
                  <c:v>20.704614456767182</c:v>
                </c:pt>
                <c:pt idx="82">
                  <c:v>20.505442156348082</c:v>
                </c:pt>
                <c:pt idx="83">
                  <c:v>20.306308694224953</c:v>
                </c:pt>
                <c:pt idx="84">
                  <c:v>20.107215884465184</c:v>
                </c:pt>
                <c:pt idx="85">
                  <c:v>19.908165625066676</c:v>
                </c:pt>
                <c:pt idx="86">
                  <c:v>19.709159901763641</c:v>
                </c:pt>
                <c:pt idx="87">
                  <c:v>19.510200791998578</c:v>
                </c:pt>
                <c:pt idx="88">
                  <c:v>19.311290469065071</c:v>
                </c:pt>
                <c:pt idx="89">
                  <c:v>19.112431206429413</c:v>
                </c:pt>
                <c:pt idx="90">
                  <c:v>18.913625382236994</c:v>
                </c:pt>
                <c:pt idx="91">
                  <c:v>18.714875484011202</c:v>
                </c:pt>
                <c:pt idx="92">
                  <c:v>18.516184113551091</c:v>
                </c:pt>
                <c:pt idx="93">
                  <c:v>18.317553992036345</c:v>
                </c:pt>
                <c:pt idx="94">
                  <c:v>18.11898796534528</c:v>
                </c:pt>
                <c:pt idx="95">
                  <c:v>17.920489009595727</c:v>
                </c:pt>
                <c:pt idx="96">
                  <c:v>17.722060236914398</c:v>
                </c:pt>
                <c:pt idx="97">
                  <c:v>17.523704901444038</c:v>
                </c:pt>
                <c:pt idx="98">
                  <c:v>17.325426405595813</c:v>
                </c:pt>
                <c:pt idx="99">
                  <c:v>17.127228306554951</c:v>
                </c:pt>
                <c:pt idx="100">
                  <c:v>16.929114323048044</c:v>
                </c:pt>
                <c:pt idx="101">
                  <c:v>16.731088342379849</c:v>
                </c:pt>
                <c:pt idx="102">
                  <c:v>16.533154427748237</c:v>
                </c:pt>
                <c:pt idx="103">
                  <c:v>16.335316825844721</c:v>
                </c:pt>
                <c:pt idx="104">
                  <c:v>16.137579974749588</c:v>
                </c:pt>
                <c:pt idx="105">
                  <c:v>15.939948512129012</c:v>
                </c:pt>
                <c:pt idx="106">
                  <c:v>15.742427283742288</c:v>
                </c:pt>
                <c:pt idx="107">
                  <c:v>15.545021352266652</c:v>
                </c:pt>
                <c:pt idx="108">
                  <c:v>15.347736006447892</c:v>
                </c:pt>
                <c:pt idx="109">
                  <c:v>15.150576770582598</c:v>
                </c:pt>
                <c:pt idx="110">
                  <c:v>14.953549414340443</c:v>
                </c:pt>
                <c:pt idx="111">
                  <c:v>14.756659962931524</c:v>
                </c:pt>
                <c:pt idx="112">
                  <c:v>14.559914707625261</c:v>
                </c:pt>
                <c:pt idx="113">
                  <c:v>14.363320216626148</c:v>
                </c:pt>
                <c:pt idx="114">
                  <c:v>14.166883346310593</c:v>
                </c:pt>
                <c:pt idx="115">
                  <c:v>13.970611252828558</c:v>
                </c:pt>
                <c:pt idx="116">
                  <c:v>13.774511404073142</c:v>
                </c:pt>
                <c:pt idx="117">
                  <c:v>13.578591592019638</c:v>
                </c:pt>
                <c:pt idx="118">
                  <c:v>13.382859945434326</c:v>
                </c:pt>
                <c:pt idx="119">
                  <c:v>13.187324942952705</c:v>
                </c:pt>
                <c:pt idx="120">
                  <c:v>12.991995426524777</c:v>
                </c:pt>
                <c:pt idx="121">
                  <c:v>12.796880615223037</c:v>
                </c:pt>
                <c:pt idx="122">
                  <c:v>12.601990119407967</c:v>
                </c:pt>
                <c:pt idx="123">
                  <c:v>12.407333955242692</c:v>
                </c:pt>
                <c:pt idx="124">
                  <c:v>12.212922559547314</c:v>
                </c:pt>
                <c:pt idx="125">
                  <c:v>12.018766804979391</c:v>
                </c:pt>
                <c:pt idx="126">
                  <c:v>11.824878015526465</c:v>
                </c:pt>
                <c:pt idx="127">
                  <c:v>11.631267982291575</c:v>
                </c:pt>
                <c:pt idx="128">
                  <c:v>11.437948979550544</c:v>
                </c:pt>
                <c:pt idx="129">
                  <c:v>11.244933781056094</c:v>
                </c:pt>
                <c:pt idx="130">
                  <c:v>11.052235676560231</c:v>
                </c:pt>
                <c:pt idx="131">
                  <c:v>10.859868488521611</c:v>
                </c:pt>
                <c:pt idx="132">
                  <c:v>10.667846588960856</c:v>
                </c:pt>
                <c:pt idx="133">
                  <c:v>10.476184916422309</c:v>
                </c:pt>
                <c:pt idx="134">
                  <c:v>10.284898992994126</c:v>
                </c:pt>
                <c:pt idx="135">
                  <c:v>10.094004941335577</c:v>
                </c:pt>
                <c:pt idx="136">
                  <c:v>9.903519501651914</c:v>
                </c:pt>
                <c:pt idx="137">
                  <c:v>9.7134600485543192</c:v>
                </c:pt>
                <c:pt idx="138">
                  <c:v>9.5238446077323005</c:v>
                </c:pt>
                <c:pt idx="139">
                  <c:v>9.3346918723629919</c:v>
                </c:pt>
                <c:pt idx="140">
                  <c:v>9.1460212191714287</c:v>
                </c:pt>
                <c:pt idx="141">
                  <c:v>8.9578527240508272</c:v>
                </c:pt>
                <c:pt idx="142">
                  <c:v>8.7702071771428773</c:v>
                </c:pt>
                <c:pt idx="143">
                  <c:v>8.5831060972710507</c:v>
                </c:pt>
                <c:pt idx="144">
                  <c:v>8.3965717456110252</c:v>
                </c:pt>
                <c:pt idx="145">
                  <c:v>8.2106271384744272</c:v>
                </c:pt>
                <c:pt idx="146">
                  <c:v>8.0252960590741989</c:v>
                </c:pt>
                <c:pt idx="147">
                  <c:v>7.840603068129683</c:v>
                </c:pt>
                <c:pt idx="148">
                  <c:v>7.6565735131640356</c:v>
                </c:pt>
                <c:pt idx="149">
                  <c:v>7.4732335363346092</c:v>
                </c:pt>
                <c:pt idx="150">
                  <c:v>7.2906100806325664</c:v>
                </c:pt>
                <c:pt idx="151">
                  <c:v>7.1087308942763352</c:v>
                </c:pt>
                <c:pt idx="152">
                  <c:v>6.9276245331200421</c:v>
                </c:pt>
                <c:pt idx="153">
                  <c:v>6.7473203608881347</c:v>
                </c:pt>
                <c:pt idx="154">
                  <c:v>6.5678485470424874</c:v>
                </c:pt>
                <c:pt idx="155">
                  <c:v>6.3892400620839238</c:v>
                </c:pt>
                <c:pt idx="156">
                  <c:v>6.2115266700847069</c:v>
                </c:pt>
                <c:pt idx="157">
                  <c:v>6.0347409182452036</c:v>
                </c:pt>
                <c:pt idx="158">
                  <c:v>5.8589161232691724</c:v>
                </c:pt>
                <c:pt idx="159">
                  <c:v>5.6840863543488069</c:v>
                </c:pt>
                <c:pt idx="160">
                  <c:v>5.5102864125546702</c:v>
                </c:pt>
                <c:pt idx="161">
                  <c:v>5.3375518064304792</c:v>
                </c:pt>
                <c:pt idx="162">
                  <c:v>5.16591872359625</c:v>
                </c:pt>
                <c:pt idx="163">
                  <c:v>4.9954239981751085</c:v>
                </c:pt>
                <c:pt idx="164">
                  <c:v>4.826105073869444</c:v>
                </c:pt>
                <c:pt idx="165">
                  <c:v>4.6579999625250919</c:v>
                </c:pt>
                <c:pt idx="166">
                  <c:v>4.4911471980430164</c:v>
                </c:pt>
                <c:pt idx="167">
                  <c:v>4.3255857855149866</c:v>
                </c:pt>
                <c:pt idx="168">
                  <c:v>4.1613551454862678</c:v>
                </c:pt>
                <c:pt idx="169">
                  <c:v>3.9984950532747252</c:v>
                </c:pt>
                <c:pt idx="170">
                  <c:v>3.8370455733064861</c:v>
                </c:pt>
                <c:pt idx="171">
                  <c:v>3.6770469884628736</c:v>
                </c:pt>
                <c:pt idx="172">
                  <c:v>3.518539724470255</c:v>
                </c:pt>
                <c:pt idx="173">
                  <c:v>3.3615642694070806</c:v>
                </c:pt>
                <c:pt idx="174">
                  <c:v>3.2061610884423479</c:v>
                </c:pt>
                <c:pt idx="175">
                  <c:v>3.052370533970687</c:v>
                </c:pt>
                <c:pt idx="176">
                  <c:v>2.9002327513546455</c:v>
                </c:pt>
                <c:pt idx="177">
                  <c:v>2.7497875805375536</c:v>
                </c:pt>
                <c:pt idx="178">
                  <c:v>2.6010744538405444</c:v>
                </c:pt>
                <c:pt idx="179">
                  <c:v>2.4541322903120686</c:v>
                </c:pt>
                <c:pt idx="180">
                  <c:v>2.3089993870496275</c:v>
                </c:pt>
                <c:pt idx="181">
                  <c:v>2.165713307967664</c:v>
                </c:pt>
                <c:pt idx="182">
                  <c:v>2.0243107705332077</c:v>
                </c:pt>
                <c:pt idx="183">
                  <c:v>1.8848275310429781</c:v>
                </c:pt>
                <c:pt idx="184">
                  <c:v>1.7472982690594472</c:v>
                </c:pt>
                <c:pt idx="185">
                  <c:v>1.6117564716632655</c:v>
                </c:pt>
                <c:pt idx="186">
                  <c:v>1.4782343182179745</c:v>
                </c:pt>
                <c:pt idx="187">
                  <c:v>1.3467625663728098</c:v>
                </c:pt>
                <c:pt idx="188">
                  <c:v>1.2173704400511305</c:v>
                </c:pt>
                <c:pt idx="189">
                  <c:v>1.0900855201908846</c:v>
                </c:pt>
                <c:pt idx="190">
                  <c:v>0.96493363900917672</c:v>
                </c:pt>
                <c:pt idx="191">
                  <c:v>0.84193877856402599</c:v>
                </c:pt>
                <c:pt idx="192">
                  <c:v>0.72112297437437411</c:v>
                </c:pt>
                <c:pt idx="193">
                  <c:v>0.60250622484250249</c:v>
                </c:pt>
                <c:pt idx="194">
                  <c:v>0.48610640719079079</c:v>
                </c:pt>
                <c:pt idx="195">
                  <c:v>0.3719392005895103</c:v>
                </c:pt>
                <c:pt idx="196">
                  <c:v>0.26001801710131195</c:v>
                </c:pt>
                <c:pt idx="197">
                  <c:v>0.15035394101339808</c:v>
                </c:pt>
                <c:pt idx="198">
                  <c:v>4.295567706225787E-2</c:v>
                </c:pt>
                <c:pt idx="199">
                  <c:v>-6.2170492016079971E-2</c:v>
                </c:pt>
                <c:pt idx="200">
                  <c:v>-0.16502073825702313</c:v>
                </c:pt>
                <c:pt idx="201">
                  <c:v>-0.26559371129013398</c:v>
                </c:pt>
                <c:pt idx="202">
                  <c:v>-0.36389055103291734</c:v>
                </c:pt>
                <c:pt idx="203">
                  <c:v>-0.45991489016647763</c:v>
                </c:pt>
                <c:pt idx="204">
                  <c:v>-0.55367284639623904</c:v>
                </c:pt>
                <c:pt idx="205">
                  <c:v>-0.64517300459508309</c:v>
                </c:pt>
                <c:pt idx="206">
                  <c:v>-0.73442638901508983</c:v>
                </c:pt>
                <c:pt idx="207">
                  <c:v>-0.82144642584628036</c:v>
                </c:pt>
                <c:pt idx="208">
                  <c:v>-0.90624889648180329</c:v>
                </c:pt>
                <c:pt idx="209">
                  <c:v>-0.98885188193052387</c:v>
                </c:pt>
                <c:pt idx="210">
                  <c:v>-1.0692756988897794</c:v>
                </c:pt>
                <c:pt idx="211">
                  <c:v>-1.1475428280557602</c:v>
                </c:pt>
                <c:pt idx="212">
                  <c:v>-1.2236778353078921</c:v>
                </c:pt>
                <c:pt idx="213">
                  <c:v>-1.297707286448722</c:v>
                </c:pt>
                <c:pt idx="214">
                  <c:v>-1.3696596562227892</c:v>
                </c:pt>
                <c:pt idx="215">
                  <c:v>-1.4395652323658268</c:v>
                </c:pt>
                <c:pt idx="216">
                  <c:v>-1.5074560154542391</c:v>
                </c:pt>
                <c:pt idx="217">
                  <c:v>-1.573365615337954</c:v>
                </c:pt>
                <c:pt idx="218">
                  <c:v>-1.6373291449379035</c:v>
                </c:pt>
                <c:pt idx="219">
                  <c:v>-1.6993831121833891</c:v>
                </c:pt>
                <c:pt idx="220">
                  <c:v>-1.7595653108480236</c:v>
                </c:pt>
                <c:pt idx="221">
                  <c:v>-1.8179147110196863</c:v>
                </c:pt>
                <c:pt idx="222">
                  <c:v>-1.8744713499099053</c:v>
                </c:pt>
                <c:pt idx="223">
                  <c:v>-1.9292762236712966</c:v>
                </c:pt>
                <c:pt idx="224">
                  <c:v>-1.9823711808517233</c:v>
                </c:pt>
                <c:pt idx="225">
                  <c:v>-2.0337988180676478</c:v>
                </c:pt>
                <c:pt idx="226">
                  <c:v>-2.0836023784304194</c:v>
                </c:pt>
                <c:pt idx="227">
                  <c:v>-2.1318256532102264</c:v>
                </c:pt>
                <c:pt idx="228">
                  <c:v>-2.1785128871680719</c:v>
                </c:pt>
                <c:pt idx="229">
                  <c:v>-2.2237086879333652</c:v>
                </c:pt>
                <c:pt idx="230">
                  <c:v>-2.2674579397541867</c:v>
                </c:pt>
                <c:pt idx="231">
                  <c:v>-2.3098057218915882</c:v>
                </c:pt>
                <c:pt idx="232">
                  <c:v>-2.3507972318815265</c:v>
                </c:pt>
                <c:pt idx="233">
                  <c:v>-2.3904777138361357</c:v>
                </c:pt>
                <c:pt idx="234">
                  <c:v>-2.4288923919132528</c:v>
                </c:pt>
                <c:pt idx="235">
                  <c:v>-2.4660864090342702</c:v>
                </c:pt>
                <c:pt idx="236">
                  <c:v>-2.5021047708933741</c:v>
                </c:pt>
                <c:pt idx="237">
                  <c:v>-2.5369922952615074</c:v>
                </c:pt>
                <c:pt idx="238">
                  <c:v>-2.570793566552894</c:v>
                </c:pt>
                <c:pt idx="239">
                  <c:v>-2.6035528955928822</c:v>
                </c:pt>
                <c:pt idx="240">
                  <c:v>-2.6353142844957631</c:v>
                </c:pt>
                <c:pt idx="241">
                  <c:v>-2.6661213965368691</c:v>
                </c:pt>
                <c:pt idx="242">
                  <c:v>-2.6960175308837311</c:v>
                </c:pt>
                <c:pt idx="243">
                  <c:v>-2.7250456020295948</c:v>
                </c:pt>
                <c:pt idx="244">
                  <c:v>-2.753248123759537</c:v>
                </c:pt>
                <c:pt idx="245">
                  <c:v>-2.7806671974656565</c:v>
                </c:pt>
                <c:pt idx="246">
                  <c:v>-2.8073445046183787</c:v>
                </c:pt>
                <c:pt idx="247">
                  <c:v>-2.8333213031917297</c:v>
                </c:pt>
                <c:pt idx="248">
                  <c:v>-2.858638427837128</c:v>
                </c:pt>
                <c:pt idx="249">
                  <c:v>-2.8833362935936258</c:v>
                </c:pt>
                <c:pt idx="250">
                  <c:v>-2.9074549029230523</c:v>
                </c:pt>
                <c:pt idx="251">
                  <c:v>-2.9310338558561506</c:v>
                </c:pt>
                <c:pt idx="252">
                  <c:v>-2.9541123630369843</c:v>
                </c:pt>
                <c:pt idx="253">
                  <c:v>-2.9767292614543628</c:v>
                </c:pt>
                <c:pt idx="254">
                  <c:v>-2.9989230326521215</c:v>
                </c:pt>
                <c:pt idx="255">
                  <c:v>-3.0207318232114817</c:v>
                </c:pt>
                <c:pt idx="256">
                  <c:v>-3.0421934673047475</c:v>
                </c:pt>
                <c:pt idx="257">
                  <c:v>-3.0633455111205263</c:v>
                </c:pt>
                <c:pt idx="258">
                  <c:v>-3.0842252389672731</c:v>
                </c:pt>
                <c:pt idx="259">
                  <c:v>-3.1048697008641191</c:v>
                </c:pt>
                <c:pt idx="260">
                  <c:v>-3.125315741432499</c:v>
                </c:pt>
                <c:pt idx="261">
                  <c:v>-3.1456000299061406</c:v>
                </c:pt>
                <c:pt idx="262">
                  <c:v>-3.1657590910795053</c:v>
                </c:pt>
                <c:pt idx="263">
                  <c:v>-3.1858293370181996</c:v>
                </c:pt>
                <c:pt idx="264">
                  <c:v>-3.205847099357169</c:v>
                </c:pt>
                <c:pt idx="265">
                  <c:v>-3.225848662015522</c:v>
                </c:pt>
                <c:pt idx="266">
                  <c:v>-3.2458702941561102</c:v>
                </c:pt>
                <c:pt idx="267">
                  <c:v>-3.2659482832209847</c:v>
                </c:pt>
                <c:pt idx="268">
                  <c:v>-3.2861189678732221</c:v>
                </c:pt>
                <c:pt idx="269">
                  <c:v>-3.3064187706750303</c:v>
                </c:pt>
                <c:pt idx="270">
                  <c:v>-3.3268842303317565</c:v>
                </c:pt>
                <c:pt idx="271">
                  <c:v>-3.3475520333291358</c:v>
                </c:pt>
                <c:pt idx="272">
                  <c:v>-3.3684590447905305</c:v>
                </c:pt>
                <c:pt idx="273">
                  <c:v>-3.3896423383754821</c:v>
                </c:pt>
                <c:pt idx="274">
                  <c:v>-3.4111392250419343</c:v>
                </c:pt>
                <c:pt idx="275">
                  <c:v>-3.432987280487183</c:v>
                </c:pt>
                <c:pt idx="276">
                  <c:v>-3.455224371081278</c:v>
                </c:pt>
                <c:pt idx="277">
                  <c:v>-3.4778886781022749</c:v>
                </c:pt>
                <c:pt idx="278">
                  <c:v>-3.5010187200780463</c:v>
                </c:pt>
                <c:pt idx="279">
                  <c:v>-3.5246533730363998</c:v>
                </c:pt>
                <c:pt idx="280">
                  <c:v>-3.5488318884603478</c:v>
                </c:pt>
                <c:pt idx="281">
                  <c:v>-3.5735939087430739</c:v>
                </c:pt>
                <c:pt idx="282">
                  <c:v>-3.5989794799331771</c:v>
                </c:pt>
                <c:pt idx="283">
                  <c:v>-3.6250290615590979</c:v>
                </c:pt>
                <c:pt idx="284">
                  <c:v>-3.6517835333195201</c:v>
                </c:pt>
                <c:pt idx="285">
                  <c:v>-3.6792841984267088</c:v>
                </c:pt>
                <c:pt idx="286">
                  <c:v>-3.7075727833901384</c:v>
                </c:pt>
                <c:pt idx="287">
                  <c:v>-3.7366914340297344</c:v>
                </c:pt>
                <c:pt idx="288">
                  <c:v>-3.7666827075133638</c:v>
                </c:pt>
                <c:pt idx="289">
                  <c:v>-3.7975895602168568</c:v>
                </c:pt>
                <c:pt idx="290">
                  <c:v>-3.829455331215347</c:v>
                </c:pt>
                <c:pt idx="291">
                  <c:v>-3.8623237212228489</c:v>
                </c:pt>
                <c:pt idx="292">
                  <c:v>-3.8962387668120084</c:v>
                </c:pt>
                <c:pt idx="293">
                  <c:v>-3.9312448097596109</c:v>
                </c:pt>
                <c:pt idx="294">
                  <c:v>-3.9673864613844376</c:v>
                </c:pt>
                <c:pt idx="295">
                  <c:v>-4.0047085617638443</c:v>
                </c:pt>
                <c:pt idx="296">
                  <c:v>-4.0432561337414166</c:v>
                </c:pt>
                <c:pt idx="297">
                  <c:v>-4.0830743316668379</c:v>
                </c:pt>
                <c:pt idx="298">
                  <c:v>-4.1242083848397932</c:v>
                </c:pt>
                <c:pt idx="299">
                  <c:v>-4.1667035356654667</c:v>
                </c:pt>
                <c:pt idx="300">
                  <c:v>-4.2106049725675962</c:v>
                </c:pt>
                <c:pt idx="301">
                  <c:v>-4.2559577577455405</c:v>
                </c:pt>
                <c:pt idx="302">
                  <c:v>-4.3028067499077318</c:v>
                </c:pt>
                <c:pt idx="303">
                  <c:v>-4.3511965221591797</c:v>
                </c:pt>
                <c:pt idx="304">
                  <c:v>-4.4011712752706007</c:v>
                </c:pt>
                <c:pt idx="305">
                  <c:v>-4.4527747466090997</c:v>
                </c:pt>
                <c:pt idx="306">
                  <c:v>-4.5060501150590699</c:v>
                </c:pt>
                <c:pt idx="307">
                  <c:v>-4.5610399023191315</c:v>
                </c:pt>
                <c:pt idx="308">
                  <c:v>-4.6177858710114696</c:v>
                </c:pt>
                <c:pt idx="309">
                  <c:v>-4.6763289200915708</c:v>
                </c:pt>
                <c:pt idx="310">
                  <c:v>-4.736708978099081</c:v>
                </c:pt>
                <c:pt idx="311">
                  <c:v>-4.7989648948374377</c:v>
                </c:pt>
                <c:pt idx="312">
                  <c:v>-4.8631343321141127</c:v>
                </c:pt>
                <c:pt idx="313">
                  <c:v>-4.9292536542156027</c:v>
                </c:pt>
                <c:pt idx="314">
                  <c:v>-4.9973578188253249</c:v>
                </c:pt>
                <c:pt idx="315">
                  <c:v>-5.0674802691228464</c:v>
                </c:pt>
                <c:pt idx="316">
                  <c:v>-5.1396528278255849</c:v>
                </c:pt>
                <c:pt idx="317">
                  <c:v>-5.2139055939485468</c:v>
                </c:pt>
                <c:pt idx="318">
                  <c:v>-5.2902668430652167</c:v>
                </c:pt>
                <c:pt idx="319">
                  <c:v>-5.3687629318498651</c:v>
                </c:pt>
                <c:pt idx="320">
                  <c:v>-5.449418207671858</c:v>
                </c:pt>
                <c:pt idx="321">
                  <c:v>-5.5322549239892149</c:v>
                </c:pt>
                <c:pt idx="322">
                  <c:v>-5.6172931622614</c:v>
                </c:pt>
                <c:pt idx="323">
                  <c:v>-5.7045507610585275</c:v>
                </c:pt>
                <c:pt idx="324">
                  <c:v>-5.7940432529973487</c:v>
                </c:pt>
                <c:pt idx="325">
                  <c:v>-5.8857838100751723</c:v>
                </c:pt>
                <c:pt idx="326">
                  <c:v>-5.9797831979072473</c:v>
                </c:pt>
                <c:pt idx="327">
                  <c:v>-6.0760497392987975</c:v>
                </c:pt>
                <c:pt idx="328">
                  <c:v>-6.1745892875057828</c:v>
                </c:pt>
                <c:pt idx="329">
                  <c:v>-6.2754052094489712</c:v>
                </c:pt>
                <c:pt idx="330">
                  <c:v>-6.3784983790624405</c:v>
                </c:pt>
                <c:pt idx="331">
                  <c:v>-6.4838671808603232</c:v>
                </c:pt>
                <c:pt idx="332">
                  <c:v>-6.5915075237172882</c:v>
                </c:pt>
                <c:pt idx="333">
                  <c:v>-6.701412864762732</c:v>
                </c:pt>
                <c:pt idx="334">
                  <c:v>-6.8135742431990378</c:v>
                </c:pt>
                <c:pt idx="335">
                  <c:v>-6.9279803237639648</c:v>
                </c:pt>
                <c:pt idx="336">
                  <c:v>-7.0446174494772453</c:v>
                </c:pt>
                <c:pt idx="337">
                  <c:v>-7.1634697032281363</c:v>
                </c:pt>
                <c:pt idx="338">
                  <c:v>-7.2845189776931321</c:v>
                </c:pt>
                <c:pt idx="339">
                  <c:v>-7.4077450530064901</c:v>
                </c:pt>
                <c:pt idx="340">
                  <c:v>-7.5331256815511125</c:v>
                </c:pt>
                <c:pt idx="341">
                  <c:v>-7.660636679189798</c:v>
                </c:pt>
                <c:pt idx="342">
                  <c:v>-7.7902520222208835</c:v>
                </c:pt>
                <c:pt idx="343">
                  <c:v>-7.921943949311439</c:v>
                </c:pt>
                <c:pt idx="344">
                  <c:v>-8.0556830676453401</c:v>
                </c:pt>
                <c:pt idx="345">
                  <c:v>-8.1914384625135952</c:v>
                </c:pt>
                <c:pt idx="346">
                  <c:v>-8.3291778095736397</c:v>
                </c:pt>
                <c:pt idx="347">
                  <c:v>-8.4688674890142739</c:v>
                </c:pt>
                <c:pt idx="348">
                  <c:v>-8.6104727008795798</c:v>
                </c:pt>
                <c:pt idx="349">
                  <c:v>-8.7539575808289811</c:v>
                </c:pt>
                <c:pt idx="350">
                  <c:v>-8.8992853156428993</c:v>
                </c:pt>
                <c:pt idx="351">
                  <c:v>-9.0464182578183348</c:v>
                </c:pt>
                <c:pt idx="352">
                  <c:v>-9.1953180386426556</c:v>
                </c:pt>
                <c:pt idx="353">
                  <c:v>-9.3459456791776248</c:v>
                </c:pt>
                <c:pt idx="354">
                  <c:v>-9.4982616986361847</c:v>
                </c:pt>
                <c:pt idx="355">
                  <c:v>-9.6522262196842163</c:v>
                </c:pt>
                <c:pt idx="356">
                  <c:v>-9.8077990702527789</c:v>
                </c:pt>
                <c:pt idx="357">
                  <c:v>-9.9649398814989212</c:v>
                </c:pt>
                <c:pt idx="358">
                  <c:v>-10.123608181606524</c:v>
                </c:pt>
                <c:pt idx="359">
                  <c:v>-10.283763485169287</c:v>
                </c:pt>
                <c:pt idx="360">
                  <c:v>-10.445365377949773</c:v>
                </c:pt>
                <c:pt idx="361">
                  <c:v>-10.608373596857101</c:v>
                </c:pt>
                <c:pt idx="362">
                  <c:v>-10.772748105030477</c:v>
                </c:pt>
                <c:pt idx="363">
                  <c:v>-10.938449161961074</c:v>
                </c:pt>
                <c:pt idx="364">
                  <c:v>-11.105437388623344</c:v>
                </c:pt>
                <c:pt idx="365">
                  <c:v>-11.27367382762672</c:v>
                </c:pt>
                <c:pt idx="366">
                  <c:v>-11.443119998428571</c:v>
                </c:pt>
                <c:pt idx="367">
                  <c:v>-11.613737947684054</c:v>
                </c:pt>
                <c:pt idx="368">
                  <c:v>-11.785490294832332</c:v>
                </c:pt>
                <c:pt idx="369">
                  <c:v>-11.95834027304304</c:v>
                </c:pt>
                <c:pt idx="370">
                  <c:v>-12.132251765668542</c:v>
                </c:pt>
                <c:pt idx="371">
                  <c:v>-12.307189338363356</c:v>
                </c:pt>
                <c:pt idx="372">
                  <c:v>-12.483118267045306</c:v>
                </c:pt>
                <c:pt idx="373">
                  <c:v>-12.660004561887089</c:v>
                </c:pt>
                <c:pt idx="374">
                  <c:v>-12.837814987532653</c:v>
                </c:pt>
                <c:pt idx="375">
                  <c:v>-13.016517079741</c:v>
                </c:pt>
                <c:pt idx="376">
                  <c:v>-13.196079158661544</c:v>
                </c:pt>
                <c:pt idx="377">
                  <c:v>-13.376470338949652</c:v>
                </c:pt>
                <c:pt idx="378">
                  <c:v>-13.557660536929481</c:v>
                </c:pt>
                <c:pt idx="379">
                  <c:v>-13.739620475008799</c:v>
                </c:pt>
                <c:pt idx="380">
                  <c:v>-13.922321683550301</c:v>
                </c:pt>
                <c:pt idx="381">
                  <c:v>-14.105736500395164</c:v>
                </c:pt>
                <c:pt idx="382">
                  <c:v>-14.289838068234982</c:v>
                </c:pt>
                <c:pt idx="383">
                  <c:v>-14.474600330016381</c:v>
                </c:pt>
                <c:pt idx="384">
                  <c:v>-14.659998022559588</c:v>
                </c:pt>
                <c:pt idx="385">
                  <c:v>-14.846006668563623</c:v>
                </c:pt>
                <c:pt idx="386">
                  <c:v>-15.032602567162424</c:v>
                </c:pt>
                <c:pt idx="387">
                  <c:v>-15.219762783188504</c:v>
                </c:pt>
                <c:pt idx="388">
                  <c:v>-15.407465135292655</c:v>
                </c:pt>
                <c:pt idx="389">
                  <c:v>-15.595688183059364</c:v>
                </c:pt>
                <c:pt idx="390">
                  <c:v>-15.78441121324934</c:v>
                </c:pt>
                <c:pt idx="391">
                  <c:v>-15.973614225291657</c:v>
                </c:pt>
                <c:pt idx="392">
                  <c:v>-16.163277916141062</c:v>
                </c:pt>
                <c:pt idx="393">
                  <c:v>-16.353383664606092</c:v>
                </c:pt>
                <c:pt idx="394">
                  <c:v>-16.543913515247056</c:v>
                </c:pt>
                <c:pt idx="395">
                  <c:v>-16.73485016193538</c:v>
                </c:pt>
                <c:pt idx="396">
                  <c:v>-16.926176931156785</c:v>
                </c:pt>
                <c:pt idx="397">
                  <c:v>-17.117877765136729</c:v>
                </c:pt>
                <c:pt idx="398">
                  <c:v>-17.309937204856162</c:v>
                </c:pt>
                <c:pt idx="399">
                  <c:v>-17.502340373022946</c:v>
                </c:pt>
                <c:pt idx="400">
                  <c:v>-17.69507295705538</c:v>
                </c:pt>
                <c:pt idx="401">
                  <c:v>-17.888121192129564</c:v>
                </c:pt>
                <c:pt idx="402">
                  <c:v>-18.081471844337912</c:v>
                </c:pt>
                <c:pt idx="403">
                  <c:v>-18.275112194000112</c:v>
                </c:pt>
                <c:pt idx="404">
                  <c:v>-18.469030019162094</c:v>
                </c:pt>
                <c:pt idx="405">
                  <c:v>-18.663213579317553</c:v>
                </c:pt>
                <c:pt idx="406">
                  <c:v>-18.857651599377952</c:v>
                </c:pt>
                <c:pt idx="407">
                  <c:v>-19.052333253917581</c:v>
                </c:pt>
                <c:pt idx="408">
                  <c:v>-19.247248151713514</c:v>
                </c:pt>
                <c:pt idx="409">
                  <c:v>-19.442386320599184</c:v>
                </c:pt>
                <c:pt idx="410">
                  <c:v>-19.637738192645781</c:v>
                </c:pt>
                <c:pt idx="411">
                  <c:v>-19.833294589684197</c:v>
                </c:pt>
                <c:pt idx="412">
                  <c:v>-20.029046709177717</c:v>
                </c:pt>
                <c:pt idx="413">
                  <c:v>-20.224986110452321</c:v>
                </c:pt>
                <c:pt idx="414">
                  <c:v>-20.421104701290137</c:v>
                </c:pt>
                <c:pt idx="415">
                  <c:v>-20.617394724890971</c:v>
                </c:pt>
                <c:pt idx="416">
                  <c:v>-20.813848747202716</c:v>
                </c:pt>
                <c:pt idx="417">
                  <c:v>-21.010459644621726</c:v>
                </c:pt>
                <c:pt idx="418">
                  <c:v>-21.207220592062718</c:v>
                </c:pt>
                <c:pt idx="419">
                  <c:v>-21.404125051396164</c:v>
                </c:pt>
                <c:pt idx="420">
                  <c:v>-21.60116676025007</c:v>
                </c:pt>
                <c:pt idx="421">
                  <c:v>-21.798339721172731</c:v>
                </c:pt>
                <c:pt idx="422">
                  <c:v>-21.995638191151411</c:v>
                </c:pt>
                <c:pt idx="423">
                  <c:v>-22.193056671482072</c:v>
                </c:pt>
                <c:pt idx="424">
                  <c:v>-22.390589897983926</c:v>
                </c:pt>
                <c:pt idx="425">
                  <c:v>-22.588232831552688</c:v>
                </c:pt>
                <c:pt idx="426">
                  <c:v>-22.785980649045143</c:v>
                </c:pt>
                <c:pt idx="427">
                  <c:v>-22.983828734488579</c:v>
                </c:pt>
                <c:pt idx="428">
                  <c:v>-23.181772670607014</c:v>
                </c:pt>
                <c:pt idx="429">
                  <c:v>-23.37980823065649</c:v>
                </c:pt>
                <c:pt idx="430">
                  <c:v>-23.57793137056219</c:v>
                </c:pt>
                <c:pt idx="431">
                  <c:v>-23.776138221348347</c:v>
                </c:pt>
                <c:pt idx="432">
                  <c:v>-23.974425081853482</c:v>
                </c:pt>
                <c:pt idx="433">
                  <c:v>-24.172788411722795</c:v>
                </c:pt>
                <c:pt idx="434">
                  <c:v>-24.371224824669348</c:v>
                </c:pt>
                <c:pt idx="435">
                  <c:v>-24.569731081995336</c:v>
                </c:pt>
                <c:pt idx="436">
                  <c:v>-24.768304086366651</c:v>
                </c:pt>
                <c:pt idx="437">
                  <c:v>-24.966940875831497</c:v>
                </c:pt>
                <c:pt idx="438">
                  <c:v>-25.16563861807548</c:v>
                </c:pt>
                <c:pt idx="439">
                  <c:v>-25.364394604905165</c:v>
                </c:pt>
                <c:pt idx="440">
                  <c:v>-25.563206246952952</c:v>
                </c:pt>
                <c:pt idx="441">
                  <c:v>-25.762071068594675</c:v>
                </c:pt>
                <c:pt idx="442">
                  <c:v>-25.960986703073434</c:v>
                </c:pt>
                <c:pt idx="443">
                  <c:v>-26.159950887821925</c:v>
                </c:pt>
                <c:pt idx="444">
                  <c:v>-26.358961459975223</c:v>
                </c:pt>
                <c:pt idx="445">
                  <c:v>-26.558016352069632</c:v>
                </c:pt>
                <c:pt idx="446">
                  <c:v>-26.757113587917608</c:v>
                </c:pt>
                <c:pt idx="447">
                  <c:v>-26.956251278654278</c:v>
                </c:pt>
                <c:pt idx="448">
                  <c:v>-27.15542761894859</c:v>
                </c:pt>
                <c:pt idx="449">
                  <c:v>-27.354640883372547</c:v>
                </c:pt>
                <c:pt idx="450">
                  <c:v>-27.553889422922797</c:v>
                </c:pt>
                <c:pt idx="451">
                  <c:v>-27.75317166168831</c:v>
                </c:pt>
                <c:pt idx="452">
                  <c:v>-27.952486093659012</c:v>
                </c:pt>
                <c:pt idx="453">
                  <c:v>-28.151831279669281</c:v>
                </c:pt>
                <c:pt idx="454">
                  <c:v>-28.351205844471437</c:v>
                </c:pt>
                <c:pt idx="455">
                  <c:v>-28.550608473933504</c:v>
                </c:pt>
                <c:pt idx="456">
                  <c:v>-28.750037912356884</c:v>
                </c:pt>
                <c:pt idx="457">
                  <c:v>-28.949492959908536</c:v>
                </c:pt>
                <c:pt idx="458">
                  <c:v>-29.148972470163802</c:v>
                </c:pt>
                <c:pt idx="459">
                  <c:v>-29.348475347754238</c:v>
                </c:pt>
                <c:pt idx="460">
                  <c:v>-29.548000546117006</c:v>
                </c:pt>
                <c:pt idx="461">
                  <c:v>-29.747547065341774</c:v>
                </c:pt>
                <c:pt idx="462">
                  <c:v>-29.9471139501102</c:v>
                </c:pt>
                <c:pt idx="463">
                  <c:v>-30.146700287725089</c:v>
                </c:pt>
                <c:pt idx="464">
                  <c:v>-30.346305206225036</c:v>
                </c:pt>
                <c:pt idx="465">
                  <c:v>-30.54592787258099</c:v>
                </c:pt>
                <c:pt idx="466">
                  <c:v>-30.745567490971304</c:v>
                </c:pt>
                <c:pt idx="467">
                  <c:v>-30.945223301132017</c:v>
                </c:pt>
                <c:pt idx="468">
                  <c:v>-31.144894576779642</c:v>
                </c:pt>
                <c:pt idx="469">
                  <c:v>-31.344580624102282</c:v>
                </c:pt>
                <c:pt idx="470">
                  <c:v>-31.544280780317152</c:v>
                </c:pt>
                <c:pt idx="471">
                  <c:v>-31.743994412291361</c:v>
                </c:pt>
                <c:pt idx="472">
                  <c:v>-31.943720915223789</c:v>
                </c:pt>
                <c:pt idx="473">
                  <c:v>-32.143459711383251</c:v>
                </c:pt>
                <c:pt idx="474">
                  <c:v>-32.343210248904356</c:v>
                </c:pt>
                <c:pt idx="475">
                  <c:v>-32.542972000634968</c:v>
                </c:pt>
                <c:pt idx="476">
                  <c:v>-32.742744463034668</c:v>
                </c:pt>
                <c:pt idx="477">
                  <c:v>-32.942527155122406</c:v>
                </c:pt>
                <c:pt idx="478">
                  <c:v>-33.142319617469987</c:v>
                </c:pt>
                <c:pt idx="479">
                  <c:v>-33.342121411240477</c:v>
                </c:pt>
                <c:pt idx="480">
                  <c:v>-33.541932117269091</c:v>
                </c:pt>
                <c:pt idx="481">
                  <c:v>-33.741751335184802</c:v>
                </c:pt>
                <c:pt idx="482">
                  <c:v>-33.94157868257021</c:v>
                </c:pt>
                <c:pt idx="483">
                  <c:v>-34.141413794160172</c:v>
                </c:pt>
                <c:pt idx="484">
                  <c:v>-34.341256321074411</c:v>
                </c:pt>
                <c:pt idx="485">
                  <c:v>-34.541105930084882</c:v>
                </c:pt>
                <c:pt idx="486">
                  <c:v>-34.740962302916174</c:v>
                </c:pt>
                <c:pt idx="487">
                  <c:v>-34.940825135576013</c:v>
                </c:pt>
                <c:pt idx="488">
                  <c:v>-35.140694137716281</c:v>
                </c:pt>
                <c:pt idx="489">
                  <c:v>-35.340569032022351</c:v>
                </c:pt>
                <c:pt idx="490">
                  <c:v>-35.540449553629102</c:v>
                </c:pt>
                <c:pt idx="491">
                  <c:v>-35.740335449563787</c:v>
                </c:pt>
                <c:pt idx="492">
                  <c:v>-35.940226478213276</c:v>
                </c:pt>
                <c:pt idx="493">
                  <c:v>-36.140122408814676</c:v>
                </c:pt>
                <c:pt idx="494">
                  <c:v>-36.340023020969682</c:v>
                </c:pt>
                <c:pt idx="495">
                  <c:v>-36.539928104179573</c:v>
                </c:pt>
                <c:pt idx="496">
                  <c:v>-36.739837457401272</c:v>
                </c:pt>
                <c:pt idx="497">
                  <c:v>-36.939750888624118</c:v>
                </c:pt>
                <c:pt idx="498">
                  <c:v>-37.139668214463846</c:v>
                </c:pt>
                <c:pt idx="499">
                  <c:v>-37.339589259776382</c:v>
                </c:pt>
                <c:pt idx="500">
                  <c:v>-37.539513857287879</c:v>
                </c:pt>
                <c:pt idx="501">
                  <c:v>-37.739441847241451</c:v>
                </c:pt>
                <c:pt idx="502">
                  <c:v>-37.939373077060139</c:v>
                </c:pt>
                <c:pt idx="503">
                  <c:v>-38.139307401024723</c:v>
                </c:pt>
                <c:pt idx="504">
                  <c:v>-38.339244679965468</c:v>
                </c:pt>
                <c:pt idx="505">
                  <c:v>-38.539184780968625</c:v>
                </c:pt>
                <c:pt idx="506">
                  <c:v>-38.739127577095246</c:v>
                </c:pt>
                <c:pt idx="507">
                  <c:v>-38.939072947112862</c:v>
                </c:pt>
                <c:pt idx="508">
                  <c:v>-39.1390207752397</c:v>
                </c:pt>
                <c:pt idx="509">
                  <c:v>-39.338970950899359</c:v>
                </c:pt>
                <c:pt idx="510">
                  <c:v>-39.538923368487112</c:v>
                </c:pt>
                <c:pt idx="511">
                  <c:v>-39.738877927146881</c:v>
                </c:pt>
                <c:pt idx="512">
                  <c:v>-39.9388345305575</c:v>
                </c:pt>
                <c:pt idx="513">
                  <c:v>-40.138793086729343</c:v>
                </c:pt>
                <c:pt idx="514">
                  <c:v>-40.338753507809521</c:v>
                </c:pt>
                <c:pt idx="515">
                  <c:v>-40.538715709895868</c:v>
                </c:pt>
                <c:pt idx="516">
                  <c:v>-40.738679612859805</c:v>
                </c:pt>
                <c:pt idx="517">
                  <c:v>-40.93864514017632</c:v>
                </c:pt>
                <c:pt idx="518">
                  <c:v>-41.138612218762354</c:v>
                </c:pt>
                <c:pt idx="519">
                  <c:v>-41.338580778821793</c:v>
                </c:pt>
                <c:pt idx="520">
                  <c:v>-41.538550753698004</c:v>
                </c:pt>
                <c:pt idx="521">
                  <c:v>-41.738522079732547</c:v>
                </c:pt>
                <c:pt idx="522">
                  <c:v>-41.938494696130427</c:v>
                </c:pt>
                <c:pt idx="523">
                  <c:v>-42.138468544831376</c:v>
                </c:pt>
                <c:pt idx="524">
                  <c:v>-42.338443570386787</c:v>
                </c:pt>
                <c:pt idx="525">
                  <c:v>-42.538419719842565</c:v>
                </c:pt>
                <c:pt idx="526">
                  <c:v>-42.738396942626721</c:v>
                </c:pt>
                <c:pt idx="527">
                  <c:v>-42.938375190442315</c:v>
                </c:pt>
                <c:pt idx="528">
                  <c:v>-43.138354417165246</c:v>
                </c:pt>
                <c:pt idx="529">
                  <c:v>-43.338334578746327</c:v>
                </c:pt>
                <c:pt idx="530">
                  <c:v>-43.538315633118302</c:v>
                </c:pt>
                <c:pt idx="531">
                  <c:v>-43.738297540106458</c:v>
                </c:pt>
                <c:pt idx="532">
                  <c:v>-43.938280261343515</c:v>
                </c:pt>
                <c:pt idx="533">
                  <c:v>-44.138263760188408</c:v>
                </c:pt>
                <c:pt idx="534">
                  <c:v>-44.33824800164885</c:v>
                </c:pt>
                <c:pt idx="535">
                  <c:v>-44.538232952306736</c:v>
                </c:pt>
                <c:pt idx="536">
                  <c:v>-44.738218580247569</c:v>
                </c:pt>
                <c:pt idx="537">
                  <c:v>-44.938204854993053</c:v>
                </c:pt>
                <c:pt idx="538">
                  <c:v>-45.138191747435997</c:v>
                </c:pt>
                <c:pt idx="539">
                  <c:v>-45.338179229778987</c:v>
                </c:pt>
                <c:pt idx="540">
                  <c:v>-45.538167275475566</c:v>
                </c:pt>
                <c:pt idx="541">
                  <c:v>-45.738155859173517</c:v>
                </c:pt>
              </c:numCache>
            </c:numRef>
          </c:yVal>
          <c:smooth val="1"/>
          <c:extLst>
            <c:ext xmlns:c16="http://schemas.microsoft.com/office/drawing/2014/chart" uri="{C3380CC4-5D6E-409C-BE32-E72D297353CC}">
              <c16:uniqueId val="{00000000-14B6-4D85-8680-2B593F1D4BA1}"/>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90.536459396598062</c:v>
                </c:pt>
                <c:pt idx="1">
                  <c:v>90.548954252184075</c:v>
                </c:pt>
                <c:pt idx="2">
                  <c:v>90.56174008676966</c:v>
                </c:pt>
                <c:pt idx="3">
                  <c:v>90.574823673580212</c:v>
                </c:pt>
                <c:pt idx="4">
                  <c:v>90.588211943284819</c:v>
                </c:pt>
                <c:pt idx="5">
                  <c:v>90.60191198764015</c:v>
                </c:pt>
                <c:pt idx="6">
                  <c:v>90.615931063218056</c:v>
                </c:pt>
                <c:pt idx="7">
                  <c:v>90.63027659521768</c:v>
                </c:pt>
                <c:pt idx="8">
                  <c:v>90.644956181364861</c:v>
                </c:pt>
                <c:pt idx="9">
                  <c:v>90.659977595900088</c:v>
                </c:pt>
                <c:pt idx="10">
                  <c:v>90.675348793657307</c:v>
                </c:pt>
                <c:pt idx="11">
                  <c:v>90.691077914235251</c:v>
                </c:pt>
                <c:pt idx="12">
                  <c:v>90.707173286263526</c:v>
                </c:pt>
                <c:pt idx="13">
                  <c:v>90.723643431765367</c:v>
                </c:pt>
                <c:pt idx="14">
                  <c:v>90.740497070619043</c:v>
                </c:pt>
                <c:pt idx="15">
                  <c:v>90.757743125120186</c:v>
                </c:pt>
                <c:pt idx="16">
                  <c:v>90.775390724647082</c:v>
                </c:pt>
                <c:pt idx="17">
                  <c:v>90.793449210430964</c:v>
                </c:pt>
                <c:pt idx="18">
                  <c:v>90.811928140433835</c:v>
                </c:pt>
                <c:pt idx="19">
                  <c:v>90.830837294335524</c:v>
                </c:pt>
                <c:pt idx="20">
                  <c:v>90.850186678632966</c:v>
                </c:pt>
                <c:pt idx="21">
                  <c:v>90.869986531853101</c:v>
                </c:pt>
                <c:pt idx="22">
                  <c:v>90.890247329882627</c:v>
                </c:pt>
                <c:pt idx="23">
                  <c:v>90.910979791416295</c:v>
                </c:pt>
                <c:pt idx="24">
                  <c:v>90.93219488352635</c:v>
                </c:pt>
                <c:pt idx="25">
                  <c:v>90.953903827355731</c:v>
                </c:pt>
                <c:pt idx="26">
                  <c:v>90.976118103937068</c:v>
                </c:pt>
                <c:pt idx="27">
                  <c:v>90.998849460140335</c:v>
                </c:pt>
                <c:pt idx="28">
                  <c:v>91.02210991475134</c:v>
                </c:pt>
                <c:pt idx="29">
                  <c:v>91.045911764683822</c:v>
                </c:pt>
                <c:pt idx="30">
                  <c:v>91.070267591327394</c:v>
                </c:pt>
                <c:pt idx="31">
                  <c:v>91.095190267034269</c:v>
                </c:pt>
                <c:pt idx="32">
                  <c:v>91.120692961746855</c:v>
                </c:pt>
                <c:pt idx="33">
                  <c:v>91.146789149769276</c:v>
                </c:pt>
                <c:pt idx="34">
                  <c:v>91.173492616685039</c:v>
                </c:pt>
                <c:pt idx="35">
                  <c:v>91.200817466423644</c:v>
                </c:pt>
                <c:pt idx="36">
                  <c:v>91.228778128478694</c:v>
                </c:pt>
                <c:pt idx="37">
                  <c:v>91.257389365279963</c:v>
                </c:pt>
                <c:pt idx="38">
                  <c:v>91.28666627972234</c:v>
                </c:pt>
                <c:pt idx="39">
                  <c:v>91.316624322853727</c:v>
                </c:pt>
                <c:pt idx="40">
                  <c:v>91.347279301724996</c:v>
                </c:pt>
                <c:pt idx="41">
                  <c:v>91.378647387404115</c:v>
                </c:pt>
                <c:pt idx="42">
                  <c:v>91.410745123157284</c:v>
                </c:pt>
                <c:pt idx="43">
                  <c:v>91.4435894327992</c:v>
                </c:pt>
                <c:pt idx="44">
                  <c:v>91.477197629215297</c:v>
                </c:pt>
                <c:pt idx="45">
                  <c:v>91.511587423057975</c:v>
                </c:pt>
                <c:pt idx="46">
                  <c:v>91.546776931619476</c:v>
                </c:pt>
                <c:pt idx="47">
                  <c:v>91.58278468788329</c:v>
                </c:pt>
                <c:pt idx="48">
                  <c:v>91.619629649756718</c:v>
                </c:pt>
                <c:pt idx="49">
                  <c:v>91.657331209486316</c:v>
                </c:pt>
                <c:pt idx="50">
                  <c:v>91.69590920325831</c:v>
                </c:pt>
                <c:pt idx="51">
                  <c:v>91.735383920986052</c:v>
                </c:pt>
                <c:pt idx="52">
                  <c:v>91.775776116285954</c:v>
                </c:pt>
                <c:pt idx="53">
                  <c:v>91.81710701664386</c:v>
                </c:pt>
                <c:pt idx="54">
                  <c:v>91.859398333772901</c:v>
                </c:pt>
                <c:pt idx="55">
                  <c:v>91.902672274164445</c:v>
                </c:pt>
                <c:pt idx="56">
                  <c:v>91.946951549833159</c:v>
                </c:pt>
                <c:pt idx="57">
                  <c:v>91.992259389256915</c:v>
                </c:pt>
                <c:pt idx="58">
                  <c:v>92.038619548512287</c:v>
                </c:pt>
                <c:pt idx="59">
                  <c:v>92.086056322605927</c:v>
                </c:pt>
                <c:pt idx="60">
                  <c:v>92.134594557002018</c:v>
                </c:pt>
                <c:pt idx="61">
                  <c:v>92.184259659345585</c:v>
                </c:pt>
                <c:pt idx="62">
                  <c:v>92.235077611380959</c:v>
                </c:pt>
                <c:pt idx="63">
                  <c:v>92.287074981064563</c:v>
                </c:pt>
                <c:pt idx="64">
                  <c:v>92.340278934870739</c:v>
                </c:pt>
                <c:pt idx="65">
                  <c:v>92.394717250288792</c:v>
                </c:pt>
                <c:pt idx="66">
                  <c:v>92.450418328508974</c:v>
                </c:pt>
                <c:pt idx="67">
                  <c:v>92.507411207294695</c:v>
                </c:pt>
                <c:pt idx="68">
                  <c:v>92.565725574037657</c:v>
                </c:pt>
                <c:pt idx="69">
                  <c:v>92.625391778992025</c:v>
                </c:pt>
                <c:pt idx="70">
                  <c:v>92.686440848682764</c:v>
                </c:pt>
                <c:pt idx="71">
                  <c:v>92.748904499483515</c:v>
                </c:pt>
                <c:pt idx="72">
                  <c:v>92.812815151356986</c:v>
                </c:pt>
                <c:pt idx="73">
                  <c:v>92.878205941752086</c:v>
                </c:pt>
                <c:pt idx="74">
                  <c:v>92.945110739648996</c:v>
                </c:pt>
                <c:pt idx="75">
                  <c:v>93.013564159744391</c:v>
                </c:pt>
                <c:pt idx="76">
                  <c:v>93.083601576766156</c:v>
                </c:pt>
                <c:pt idx="77">
                  <c:v>93.155259139907571</c:v>
                </c:pt>
                <c:pt idx="78">
                  <c:v>93.228573787368305</c:v>
                </c:pt>
                <c:pt idx="79">
                  <c:v>93.303583260989043</c:v>
                </c:pt>
                <c:pt idx="80">
                  <c:v>93.380326120965393</c:v>
                </c:pt>
                <c:pt idx="81">
                  <c:v>93.458841760624168</c:v>
                </c:pt>
                <c:pt idx="82">
                  <c:v>93.53917042124489</c:v>
                </c:pt>
                <c:pt idx="83">
                  <c:v>93.621353206906875</c:v>
                </c:pt>
                <c:pt idx="84">
                  <c:v>93.705432099340456</c:v>
                </c:pt>
                <c:pt idx="85">
                  <c:v>93.791449972759196</c:v>
                </c:pt>
                <c:pt idx="86">
                  <c:v>93.879450608648028</c:v>
                </c:pt>
                <c:pt idx="87">
                  <c:v>93.969478710479251</c:v>
                </c:pt>
                <c:pt idx="88">
                  <c:v>94.061579918327169</c:v>
                </c:pt>
                <c:pt idx="89">
                  <c:v>94.155800823348372</c:v>
                </c:pt>
                <c:pt idx="90">
                  <c:v>94.25218898209279</c:v>
                </c:pt>
                <c:pt idx="91">
                  <c:v>94.350792930607525</c:v>
                </c:pt>
                <c:pt idx="92">
                  <c:v>94.451662198292453</c:v>
                </c:pt>
                <c:pt idx="93">
                  <c:v>94.554847321462816</c:v>
                </c:pt>
                <c:pt idx="94">
                  <c:v>94.660399856571885</c:v>
                </c:pt>
                <c:pt idx="95">
                  <c:v>94.768372393041105</c:v>
                </c:pt>
                <c:pt idx="96">
                  <c:v>94.878818565643428</c:v>
                </c:pt>
                <c:pt idx="97">
                  <c:v>94.991793066379373</c:v>
                </c:pt>
                <c:pt idx="98">
                  <c:v>95.107351655782352</c:v>
                </c:pt>
                <c:pt idx="99">
                  <c:v>95.225551173584805</c:v>
                </c:pt>
                <c:pt idx="100">
                  <c:v>95.346449548670904</c:v>
                </c:pt>
                <c:pt idx="101">
                  <c:v>95.470105808237705</c:v>
                </c:pt>
                <c:pt idx="102">
                  <c:v>95.596580086080294</c:v>
                </c:pt>
                <c:pt idx="103">
                  <c:v>95.725933629910656</c:v>
                </c:pt>
                <c:pt idx="104">
                  <c:v>95.858228807614466</c:v>
                </c:pt>
                <c:pt idx="105">
                  <c:v>95.993529112342216</c:v>
                </c:pt>
                <c:pt idx="106">
                  <c:v>96.131899166326789</c:v>
                </c:pt>
                <c:pt idx="107">
                  <c:v>96.273404723309241</c:v>
                </c:pt>
                <c:pt idx="108">
                  <c:v>96.418112669449727</c:v>
                </c:pt>
                <c:pt idx="109">
                  <c:v>96.566091022591891</c:v>
                </c:pt>
                <c:pt idx="110">
                  <c:v>96.717408929739918</c:v>
                </c:pt>
                <c:pt idx="111">
                  <c:v>96.872136662600468</c:v>
                </c:pt>
                <c:pt idx="112">
                  <c:v>97.030345611031521</c:v>
                </c:pt>
                <c:pt idx="113">
                  <c:v>97.192108274232183</c:v>
                </c:pt>
                <c:pt idx="114">
                  <c:v>97.357498249496842</c:v>
                </c:pt>
                <c:pt idx="115">
                  <c:v>97.526590218347323</c:v>
                </c:pt>
                <c:pt idx="116">
                  <c:v>97.699459929847905</c:v>
                </c:pt>
                <c:pt idx="117">
                  <c:v>97.876184180894811</c:v>
                </c:pt>
                <c:pt idx="118">
                  <c:v>98.056840793263987</c:v>
                </c:pt>
                <c:pt idx="119">
                  <c:v>98.241508587188363</c:v>
                </c:pt>
                <c:pt idx="120">
                  <c:v>98.430267351223691</c:v>
                </c:pt>
                <c:pt idx="121">
                  <c:v>98.623197808153606</c:v>
                </c:pt>
                <c:pt idx="122">
                  <c:v>98.820381576669419</c:v>
                </c:pt>
                <c:pt idx="123">
                  <c:v>99.021901128552102</c:v>
                </c:pt>
                <c:pt idx="124">
                  <c:v>99.22783974106909</c:v>
                </c:pt>
                <c:pt idx="125">
                  <c:v>99.438281444290354</c:v>
                </c:pt>
                <c:pt idx="126">
                  <c:v>99.65331096301486</c:v>
                </c:pt>
                <c:pt idx="127">
                  <c:v>99.873013652987368</c:v>
                </c:pt>
                <c:pt idx="128">
                  <c:v>100.0974754310771</c:v>
                </c:pt>
                <c:pt idx="129">
                  <c:v>100.32678269907937</c:v>
                </c:pt>
                <c:pt idx="130">
                  <c:v>100.5610222607888</c:v>
                </c:pt>
                <c:pt idx="131">
                  <c:v>100.80028123199084</c:v>
                </c:pt>
                <c:pt idx="132">
                  <c:v>101.04464694300424</c:v>
                </c:pt>
                <c:pt idx="133">
                  <c:v>101.29420683340742</c:v>
                </c:pt>
                <c:pt idx="134">
                  <c:v>101.54904833857208</c:v>
                </c:pt>
                <c:pt idx="135">
                  <c:v>101.80925876762846</c:v>
                </c:pt>
                <c:pt idx="136">
                  <c:v>102.07492517248527</c:v>
                </c:pt>
                <c:pt idx="137">
                  <c:v>102.34613420752676</c:v>
                </c:pt>
                <c:pt idx="138">
                  <c:v>102.62297197961759</c:v>
                </c:pt>
                <c:pt idx="139">
                  <c:v>102.90552388805141</c:v>
                </c:pt>
                <c:pt idx="140">
                  <c:v>103.193874454088</c:v>
                </c:pt>
                <c:pt idx="141">
                  <c:v>103.48810713974461</c:v>
                </c:pt>
                <c:pt idx="142">
                  <c:v>103.78830415551596</c:v>
                </c:pt>
                <c:pt idx="143">
                  <c:v>104.09454625673008</c:v>
                </c:pt>
                <c:pt idx="144">
                  <c:v>104.4069125282694</c:v>
                </c:pt>
                <c:pt idx="145">
                  <c:v>104.7254801574208</c:v>
                </c:pt>
                <c:pt idx="146">
                  <c:v>105.05032419465812</c:v>
                </c:pt>
                <c:pt idx="147">
                  <c:v>105.38151730220783</c:v>
                </c:pt>
                <c:pt idx="148">
                  <c:v>105.71912949029475</c:v>
                </c:pt>
                <c:pt idx="149">
                  <c:v>106.06322784103175</c:v>
                </c:pt>
                <c:pt idx="150">
                  <c:v>106.41387621997592</c:v>
                </c:pt>
                <c:pt idx="151">
                  <c:v>106.77113497545582</c:v>
                </c:pt>
                <c:pt idx="152">
                  <c:v>107.13506062584847</c:v>
                </c:pt>
                <c:pt idx="153">
                  <c:v>107.5057055350846</c:v>
                </c:pt>
                <c:pt idx="154">
                  <c:v>107.88311757675139</c:v>
                </c:pt>
                <c:pt idx="155">
                  <c:v>108.26733978727634</c:v>
                </c:pt>
                <c:pt idx="156">
                  <c:v>108.65841000878811</c:v>
                </c:pt>
                <c:pt idx="157">
                  <c:v>109.05636052238104</c:v>
                </c:pt>
                <c:pt idx="158">
                  <c:v>109.46121767263278</c:v>
                </c:pt>
                <c:pt idx="159">
                  <c:v>109.87300148437825</c:v>
                </c:pt>
                <c:pt idx="160">
                  <c:v>110.29172527288381</c:v>
                </c:pt>
                <c:pt idx="161">
                  <c:v>110.71739524871784</c:v>
                </c:pt>
                <c:pt idx="162">
                  <c:v>111.15001011878331</c:v>
                </c:pt>
                <c:pt idx="163">
                  <c:v>111.58956068513297</c:v>
                </c:pt>
                <c:pt idx="164">
                  <c:v>112.03602944335978</c:v>
                </c:pt>
                <c:pt idx="165">
                  <c:v>112.48939018252199</c:v>
                </c:pt>
                <c:pt idx="166">
                  <c:v>112.94960758872861</c:v>
                </c:pt>
                <c:pt idx="167">
                  <c:v>113.41663685467829</c:v>
                </c:pt>
                <c:pt idx="168">
                  <c:v>113.89042329759924</c:v>
                </c:pt>
                <c:pt idx="169">
                  <c:v>114.37090198819186</c:v>
                </c:pt>
                <c:pt idx="170">
                  <c:v>114.85799739331492</c:v>
                </c:pt>
                <c:pt idx="171">
                  <c:v>115.35162303527923</c:v>
                </c:pt>
                <c:pt idx="172">
                  <c:v>115.85168117072777</c:v>
                </c:pt>
                <c:pt idx="173">
                  <c:v>116.35806249216148</c:v>
                </c:pt>
                <c:pt idx="174">
                  <c:v>116.87064585524091</c:v>
                </c:pt>
                <c:pt idx="175">
                  <c:v>117.38929803502978</c:v>
                </c:pt>
                <c:pt idx="176">
                  <c:v>117.91387351435164</c:v>
                </c:pt>
                <c:pt idx="177">
                  <c:v>118.44421430740621</c:v>
                </c:pt>
                <c:pt idx="178">
                  <c:v>118.98014982173241</c:v>
                </c:pt>
                <c:pt idx="179">
                  <c:v>119.52149676149722</c:v>
                </c:pt>
                <c:pt idx="180">
                  <c:v>120.06805907495763</c:v>
                </c:pt>
                <c:pt idx="181">
                  <c:v>120.61962794874725</c:v>
                </c:pt>
                <c:pt idx="182">
                  <c:v>121.17598185142454</c:v>
                </c:pt>
                <c:pt idx="183">
                  <c:v>121.73688662843907</c:v>
                </c:pt>
                <c:pt idx="184">
                  <c:v>122.30209565036317</c:v>
                </c:pt>
                <c:pt idx="185">
                  <c:v>122.87135001588362</c:v>
                </c:pt>
                <c:pt idx="186">
                  <c:v>123.44437881065012</c:v>
                </c:pt>
                <c:pt idx="187">
                  <c:v>124.02089942264733</c:v>
                </c:pt>
                <c:pt idx="188">
                  <c:v>124.6006179142996</c:v>
                </c:pt>
                <c:pt idx="189">
                  <c:v>125.18322945102311</c:v>
                </c:pt>
                <c:pt idx="190">
                  <c:v>125.76841878543347</c:v>
                </c:pt>
                <c:pt idx="191">
                  <c:v>126.35586079589014</c:v>
                </c:pt>
                <c:pt idx="192">
                  <c:v>126.94522107752665</c:v>
                </c:pt>
                <c:pt idx="193">
                  <c:v>127.53615658338408</c:v>
                </c:pt>
                <c:pt idx="194">
                  <c:v>128.12831631274244</c:v>
                </c:pt>
                <c:pt idx="195">
                  <c:v>128.72134204323484</c:v>
                </c:pt>
                <c:pt idx="196">
                  <c:v>129.31486910285236</c:v>
                </c:pt>
                <c:pt idx="197">
                  <c:v>129.90852717749519</c:v>
                </c:pt>
                <c:pt idx="198">
                  <c:v>130.50194114932387</c:v>
                </c:pt>
                <c:pt idx="199">
                  <c:v>131.09473196080273</c:v>
                </c:pt>
                <c:pt idx="200">
                  <c:v>131.68651749902841</c:v>
                </c:pt>
                <c:pt idx="201">
                  <c:v>132.27691349469339</c:v>
                </c:pt>
                <c:pt idx="202">
                  <c:v>132.86553442986124</c:v>
                </c:pt>
                <c:pt idx="203">
                  <c:v>133.45199444862041</c:v>
                </c:pt>
                <c:pt idx="204">
                  <c:v>134.03590826465347</c:v>
                </c:pt>
                <c:pt idx="205">
                  <c:v>134.61689205978487</c:v>
                </c:pt>
                <c:pt idx="206">
                  <c:v>135.19456436769346</c:v>
                </c:pt>
                <c:pt idx="207">
                  <c:v>135.76854693713409</c:v>
                </c:pt>
                <c:pt idx="208">
                  <c:v>136.33846556927068</c:v>
                </c:pt>
                <c:pt idx="209">
                  <c:v>136.9039509240161</c:v>
                </c:pt>
                <c:pt idx="210">
                  <c:v>137.46463929063773</c:v>
                </c:pt>
                <c:pt idx="211">
                  <c:v>138.02017331829487</c:v>
                </c:pt>
                <c:pt idx="212">
                  <c:v>138.57020270262063</c:v>
                </c:pt>
                <c:pt idx="213">
                  <c:v>139.11438482495109</c:v>
                </c:pt>
                <c:pt idx="214">
                  <c:v>139.65238534130603</c:v>
                </c:pt>
                <c:pt idx="215">
                  <c:v>140.18387871875422</c:v>
                </c:pt>
                <c:pt idx="216">
                  <c:v>140.70854871733431</c:v>
                </c:pt>
                <c:pt idx="217">
                  <c:v>141.22608881623222</c:v>
                </c:pt>
                <c:pt idx="218">
                  <c:v>141.73620258344937</c:v>
                </c:pt>
                <c:pt idx="219">
                  <c:v>142.23860398870525</c:v>
                </c:pt>
                <c:pt idx="220">
                  <c:v>142.73301765981481</c:v>
                </c:pt>
                <c:pt idx="221">
                  <c:v>143.21917908324536</c:v>
                </c:pt>
                <c:pt idx="222">
                  <c:v>143.69683474998973</c:v>
                </c:pt>
                <c:pt idx="223">
                  <c:v>144.16574224829918</c:v>
                </c:pt>
                <c:pt idx="224">
                  <c:v>144.6256703051653</c:v>
                </c:pt>
                <c:pt idx="225">
                  <c:v>145.07639877877591</c:v>
                </c:pt>
                <c:pt idx="226">
                  <c:v>145.51771860442986</c:v>
                </c:pt>
                <c:pt idx="227">
                  <c:v>145.9494316966381</c:v>
                </c:pt>
                <c:pt idx="228">
                  <c:v>146.37135081032338</c:v>
                </c:pt>
                <c:pt idx="229">
                  <c:v>146.78329936418584</c:v>
                </c:pt>
                <c:pt idx="230">
                  <c:v>147.18511122939424</c:v>
                </c:pt>
                <c:pt idx="231">
                  <c:v>147.57663048685069</c:v>
                </c:pt>
                <c:pt idx="232">
                  <c:v>147.95771115629327</c:v>
                </c:pt>
                <c:pt idx="233">
                  <c:v>148.3282169005108</c:v>
                </c:pt>
                <c:pt idx="234">
                  <c:v>148.68802070790869</c:v>
                </c:pt>
                <c:pt idx="235">
                  <c:v>149.03700455661104</c:v>
                </c:pt>
                <c:pt idx="236">
                  <c:v>149.37505906320209</c:v>
                </c:pt>
                <c:pt idx="237">
                  <c:v>149.70208311910739</c:v>
                </c:pt>
                <c:pt idx="238">
                  <c:v>150.01798351750458</c:v>
                </c:pt>
                <c:pt idx="239">
                  <c:v>150.32267457351469</c:v>
                </c:pt>
                <c:pt idx="240">
                  <c:v>150.61607774028693</c:v>
                </c:pt>
                <c:pt idx="241">
                  <c:v>150.89812122344216</c:v>
                </c:pt>
                <c:pt idx="242">
                  <c:v>151.16873959618155</c:v>
                </c:pt>
                <c:pt idx="243">
                  <c:v>151.42787341721288</c:v>
                </c:pt>
                <c:pt idx="244">
                  <c:v>151.67546885348818</c:v>
                </c:pt>
                <c:pt idx="245">
                  <c:v>151.91147730958741</c:v>
                </c:pt>
                <c:pt idx="246">
                  <c:v>152.13585506543498</c:v>
                </c:pt>
                <c:pt idx="247">
                  <c:v>152.34856292387985</c:v>
                </c:pt>
                <c:pt idx="248">
                  <c:v>152.54956586953173</c:v>
                </c:pt>
                <c:pt idx="249">
                  <c:v>152.7388327401072</c:v>
                </c:pt>
                <c:pt idx="250">
                  <c:v>152.91633591140717</c:v>
                </c:pt>
                <c:pt idx="251">
                  <c:v>153.08205099693174</c:v>
                </c:pt>
                <c:pt idx="252">
                  <c:v>153.23595656301521</c:v>
                </c:pt>
                <c:pt idx="253">
                  <c:v>153.37803386027019</c:v>
                </c:pt>
                <c:pt idx="254">
                  <c:v>153.50826657202074</c:v>
                </c:pt>
                <c:pt idx="255">
                  <c:v>153.62664058032533</c:v>
                </c:pt>
                <c:pt idx="256">
                  <c:v>153.733143750105</c:v>
                </c:pt>
                <c:pt idx="257">
                  <c:v>153.82776573181943</c:v>
                </c:pt>
                <c:pt idx="258">
                  <c:v>153.91049778306976</c:v>
                </c:pt>
                <c:pt idx="259">
                  <c:v>153.98133260944707</c:v>
                </c:pt>
                <c:pt idx="260">
                  <c:v>154.04026422489497</c:v>
                </c:pt>
                <c:pt idx="261">
                  <c:v>154.0872878318049</c:v>
                </c:pt>
                <c:pt idx="262">
                  <c:v>154.12239972102427</c:v>
                </c:pt>
                <c:pt idx="263">
                  <c:v>154.14559719192135</c:v>
                </c:pt>
                <c:pt idx="264">
                  <c:v>154.15687849261309</c:v>
                </c:pt>
                <c:pt idx="265">
                  <c:v>154.15624278043646</c:v>
                </c:pt>
                <c:pt idx="266">
                  <c:v>154.14369010271437</c:v>
                </c:pt>
                <c:pt idx="267">
                  <c:v>154.11922139783974</c:v>
                </c:pt>
                <c:pt idx="268">
                  <c:v>154.0828385166763</c:v>
                </c:pt>
                <c:pt idx="269">
                  <c:v>154.03454426425043</c:v>
                </c:pt>
                <c:pt idx="270">
                  <c:v>153.97434246167751</c:v>
                </c:pt>
                <c:pt idx="271">
                  <c:v>153.90223802824417</c:v>
                </c:pt>
                <c:pt idx="272">
                  <c:v>153.81823708353087</c:v>
                </c:pt>
                <c:pt idx="273">
                  <c:v>153.72234706943121</c:v>
                </c:pt>
                <c:pt idx="274">
                  <c:v>153.61457689188347</c:v>
                </c:pt>
                <c:pt idx="275">
                  <c:v>153.49493708208814</c:v>
                </c:pt>
                <c:pt idx="276">
                  <c:v>153.36343997694078</c:v>
                </c:pt>
                <c:pt idx="277">
                  <c:v>153.2200999183537</c:v>
                </c:pt>
                <c:pt idx="278">
                  <c:v>153.06493347108227</c:v>
                </c:pt>
                <c:pt idx="279">
                  <c:v>152.89795965860449</c:v>
                </c:pt>
                <c:pt idx="280">
                  <c:v>152.71920021652952</c:v>
                </c:pt>
                <c:pt idx="281">
                  <c:v>152.52867986292935</c:v>
                </c:pt>
                <c:pt idx="282">
                  <c:v>152.32642658489718</c:v>
                </c:pt>
                <c:pt idx="283">
                  <c:v>152.11247194053948</c:v>
                </c:pt>
                <c:pt idx="284">
                  <c:v>151.88685137550218</c:v>
                </c:pt>
                <c:pt idx="285">
                  <c:v>151.649604553015</c:v>
                </c:pt>
                <c:pt idx="286">
                  <c:v>151.40077569631859</c:v>
                </c:pt>
                <c:pt idx="287">
                  <c:v>151.14041394220513</c:v>
                </c:pt>
                <c:pt idx="288">
                  <c:v>150.86857370426677</c:v>
                </c:pt>
                <c:pt idx="289">
                  <c:v>150.58531504430391</c:v>
                </c:pt>
                <c:pt idx="290">
                  <c:v>150.29070405019016</c:v>
                </c:pt>
                <c:pt idx="291">
                  <c:v>149.98481321834655</c:v>
                </c:pt>
                <c:pt idx="292">
                  <c:v>149.66772183880681</c:v>
                </c:pt>
                <c:pt idx="293">
                  <c:v>149.33951638071321</c:v>
                </c:pt>
                <c:pt idx="294">
                  <c:v>149.00029087591275</c:v>
                </c:pt>
                <c:pt idx="295">
                  <c:v>148.65014729817582</c:v>
                </c:pt>
                <c:pt idx="296">
                  <c:v>148.2891959354109</c:v>
                </c:pt>
                <c:pt idx="297">
                  <c:v>147.91755575210124</c:v>
                </c:pt>
                <c:pt idx="298">
                  <c:v>147.53535473907132</c:v>
                </c:pt>
                <c:pt idx="299">
                  <c:v>147.14273024756446</c:v>
                </c:pt>
                <c:pt idx="300">
                  <c:v>146.73982930451959</c:v>
                </c:pt>
                <c:pt idx="301">
                  <c:v>146.32680890585698</c:v>
                </c:pt>
                <c:pt idx="302">
                  <c:v>145.90383628452673</c:v>
                </c:pt>
                <c:pt idx="303">
                  <c:v>145.47108915004691</c:v>
                </c:pt>
                <c:pt idx="304">
                  <c:v>145.02875589626615</c:v>
                </c:pt>
                <c:pt idx="305">
                  <c:v>144.57703577411152</c:v>
                </c:pt>
                <c:pt idx="306">
                  <c:v>144.11613902616881</c:v>
                </c:pt>
                <c:pt idx="307">
                  <c:v>143.64628698004236</c:v>
                </c:pt>
                <c:pt idx="308">
                  <c:v>143.16771209760066</c:v>
                </c:pt>
                <c:pt idx="309">
                  <c:v>142.68065797740559</c:v>
                </c:pt>
                <c:pt idx="310">
                  <c:v>142.18537930786164</c:v>
                </c:pt>
                <c:pt idx="311">
                  <c:v>141.68214176889853</c:v>
                </c:pt>
                <c:pt idx="312">
                  <c:v>141.17122188033085</c:v>
                </c:pt>
                <c:pt idx="313">
                  <c:v>140.65290679539126</c:v>
                </c:pt>
                <c:pt idx="314">
                  <c:v>140.12749403834994</c:v>
                </c:pt>
                <c:pt idx="315">
                  <c:v>139.59529118555747</c:v>
                </c:pt>
                <c:pt idx="316">
                  <c:v>139.05661548972745</c:v>
                </c:pt>
                <c:pt idx="317">
                  <c:v>138.51179344776531</c:v>
                </c:pt>
                <c:pt idx="318">
                  <c:v>137.96116031296853</c:v>
                </c:pt>
                <c:pt idx="319">
                  <c:v>137.40505955295072</c:v>
                </c:pt>
                <c:pt idx="320">
                  <c:v>136.84384225517712</c:v>
                </c:pt>
                <c:pt idx="321">
                  <c:v>136.27786648253829</c:v>
                </c:pt>
                <c:pt idx="322">
                  <c:v>135.7074965819061</c:v>
                </c:pt>
                <c:pt idx="323">
                  <c:v>135.13310244912927</c:v>
                </c:pt>
                <c:pt idx="324">
                  <c:v>134.55505875440045</c:v>
                </c:pt>
                <c:pt idx="325">
                  <c:v>133.97374413237679</c:v>
                </c:pt>
                <c:pt idx="326">
                  <c:v>133.38954034183794</c:v>
                </c:pt>
                <c:pt idx="327">
                  <c:v>132.80283140001293</c:v>
                </c:pt>
                <c:pt idx="328">
                  <c:v>132.21400269701576</c:v>
                </c:pt>
                <c:pt idx="329">
                  <c:v>131.6234400960513</c:v>
                </c:pt>
                <c:pt idx="330">
                  <c:v>131.03152902523635</c:v>
                </c:pt>
                <c:pt idx="331">
                  <c:v>130.43865356696637</c:v>
                </c:pt>
                <c:pt idx="332">
                  <c:v>129.84519555080109</c:v>
                </c:pt>
                <c:pt idx="333">
                  <c:v>129.25153365578555</c:v>
                </c:pt>
                <c:pt idx="334">
                  <c:v>128.65804252802101</c:v>
                </c:pt>
                <c:pt idx="335">
                  <c:v>128.06509191910911</c:v>
                </c:pt>
                <c:pt idx="336">
                  <c:v>127.47304585085122</c:v>
                </c:pt>
                <c:pt idx="337">
                  <c:v>126.88226181126744</c:v>
                </c:pt>
                <c:pt idx="338">
                  <c:v>126.29308998664919</c:v>
                </c:pt>
                <c:pt idx="339">
                  <c:v>125.70587253393992</c:v>
                </c:pt>
                <c:pt idx="340">
                  <c:v>125.12094289728411</c:v>
                </c:pt>
                <c:pt idx="341">
                  <c:v>124.53862517211037</c:v>
                </c:pt>
                <c:pt idx="342">
                  <c:v>123.95923351959559</c:v>
                </c:pt>
                <c:pt idx="343">
                  <c:v>123.38307163384073</c:v>
                </c:pt>
                <c:pt idx="344">
                  <c:v>122.8104322635461</c:v>
                </c:pt>
                <c:pt idx="345">
                  <c:v>122.24159678945342</c:v>
                </c:pt>
                <c:pt idx="346">
                  <c:v>121.67683485828822</c:v>
                </c:pt>
                <c:pt idx="347">
                  <c:v>121.11640407343795</c:v>
                </c:pt>
                <c:pt idx="348">
                  <c:v>120.5605497421011</c:v>
                </c:pt>
                <c:pt idx="349">
                  <c:v>120.00950467819867</c:v>
                </c:pt>
                <c:pt idx="350">
                  <c:v>119.46348905990193</c:v>
                </c:pt>
                <c:pt idx="351">
                  <c:v>118.92271034024522</c:v>
                </c:pt>
                <c:pt idx="352">
                  <c:v>118.38736320894388</c:v>
                </c:pt>
                <c:pt idx="353">
                  <c:v>117.85762960322128</c:v>
                </c:pt>
                <c:pt idx="354">
                  <c:v>117.3336787651902</c:v>
                </c:pt>
                <c:pt idx="355">
                  <c:v>116.81566734311208</c:v>
                </c:pt>
                <c:pt idx="356">
                  <c:v>116.30373953366903</c:v>
                </c:pt>
                <c:pt idx="357">
                  <c:v>115.79802726225741</c:v>
                </c:pt>
                <c:pt idx="358">
                  <c:v>115.29865039820808</c:v>
                </c:pt>
                <c:pt idx="359">
                  <c:v>114.80571700178187</c:v>
                </c:pt>
                <c:pt idx="360">
                  <c:v>114.31932359976923</c:v>
                </c:pt>
                <c:pt idx="361">
                  <c:v>113.8395554865271</c:v>
                </c:pt>
                <c:pt idx="362">
                  <c:v>113.36648704733429</c:v>
                </c:pt>
                <c:pt idx="363">
                  <c:v>112.90018210100945</c:v>
                </c:pt>
                <c:pt idx="364">
                  <c:v>112.44069425882473</c:v>
                </c:pt>
                <c:pt idx="365">
                  <c:v>111.98806729686672</c:v>
                </c:pt>
                <c:pt idx="366">
                  <c:v>111.54233553911267</c:v>
                </c:pt>
                <c:pt idx="367">
                  <c:v>111.10352424864243</c:v>
                </c:pt>
                <c:pt idx="368">
                  <c:v>110.6716500245481</c:v>
                </c:pt>
                <c:pt idx="369">
                  <c:v>110.24672120227241</c:v>
                </c:pt>
                <c:pt idx="370">
                  <c:v>109.82873825526255</c:v>
                </c:pt>
                <c:pt idx="371">
                  <c:v>109.41769419600165</c:v>
                </c:pt>
                <c:pt idx="372">
                  <c:v>109.01357497464048</c:v>
                </c:pt>
                <c:pt idx="373">
                  <c:v>108.61635987362803</c:v>
                </c:pt>
                <c:pt idx="374">
                  <c:v>108.22602189689208</c:v>
                </c:pt>
                <c:pt idx="375">
                  <c:v>107.84252815229233</c:v>
                </c:pt>
                <c:pt idx="376">
                  <c:v>107.46584022621229</c:v>
                </c:pt>
                <c:pt idx="377">
                  <c:v>107.0959145493112</c:v>
                </c:pt>
                <c:pt idx="378">
                  <c:v>106.7327027525937</c:v>
                </c:pt>
                <c:pt idx="379">
                  <c:v>106.37615201308648</c:v>
                </c:pt>
                <c:pt idx="380">
                  <c:v>106.02620538854077</c:v>
                </c:pt>
                <c:pt idx="381">
                  <c:v>105.68280214068719</c:v>
                </c:pt>
                <c:pt idx="382">
                  <c:v>105.34587804668389</c:v>
                </c:pt>
                <c:pt idx="383">
                  <c:v>105.0153656984928</c:v>
                </c:pt>
                <c:pt idx="384">
                  <c:v>104.69119479000994</c:v>
                </c:pt>
                <c:pt idx="385">
                  <c:v>104.37329239185802</c:v>
                </c:pt>
                <c:pt idx="386">
                  <c:v>104.06158321382344</c:v>
                </c:pt>
                <c:pt idx="387">
                  <c:v>103.75598985498169</c:v>
                </c:pt>
                <c:pt idx="388">
                  <c:v>103.45643304161842</c:v>
                </c:pt>
                <c:pt idx="389">
                  <c:v>103.1628318531037</c:v>
                </c:pt>
                <c:pt idx="390">
                  <c:v>102.87510393591717</c:v>
                </c:pt>
                <c:pt idx="391">
                  <c:v>102.59316570606707</c:v>
                </c:pt>
                <c:pt idx="392">
                  <c:v>102.31693254017338</c:v>
                </c:pt>
                <c:pt idx="393">
                  <c:v>102.04631895551567</c:v>
                </c:pt>
                <c:pt idx="394">
                  <c:v>101.78123877936781</c:v>
                </c:pt>
                <c:pt idx="395">
                  <c:v>101.52160530795976</c:v>
                </c:pt>
                <c:pt idx="396">
                  <c:v>101.26733145542171</c:v>
                </c:pt>
                <c:pt idx="397">
                  <c:v>101.01832989307333</c:v>
                </c:pt>
                <c:pt idx="398">
                  <c:v>100.7745131794326</c:v>
                </c:pt>
                <c:pt idx="399">
                  <c:v>100.53579388131797</c:v>
                </c:pt>
                <c:pt idx="400">
                  <c:v>100.30208468642267</c:v>
                </c:pt>
                <c:pt idx="401">
                  <c:v>100.07329850773753</c:v>
                </c:pt>
                <c:pt idx="402">
                  <c:v>99.849348580194516</c:v>
                </c:pt>
                <c:pt idx="403">
                  <c:v>99.630148549904376</c:v>
                </c:pt>
                <c:pt idx="404">
                  <c:v>99.415612556347114</c:v>
                </c:pt>
                <c:pt idx="405">
                  <c:v>99.205655307874537</c:v>
                </c:pt>
                <c:pt idx="406">
                  <c:v>99.0001921508713</c:v>
                </c:pt>
                <c:pt idx="407">
                  <c:v>98.799139132912771</c:v>
                </c:pt>
                <c:pt idx="408">
                  <c:v>98.602413060249049</c:v>
                </c:pt>
                <c:pt idx="409">
                  <c:v>98.409931549932566</c:v>
                </c:pt>
                <c:pt idx="410">
                  <c:v>98.221613076896062</c:v>
                </c:pt>
                <c:pt idx="411">
                  <c:v>98.037377016277986</c:v>
                </c:pt>
                <c:pt idx="412">
                  <c:v>97.857143681278785</c:v>
                </c:pt>
                <c:pt idx="413">
                  <c:v>97.680834356821038</c:v>
                </c:pt>
                <c:pt idx="414">
                  <c:v>97.508371329275505</c:v>
                </c:pt>
                <c:pt idx="415">
                  <c:v>97.339677912503163</c:v>
                </c:pt>
                <c:pt idx="416">
                  <c:v>97.174678470450147</c:v>
                </c:pt>
                <c:pt idx="417">
                  <c:v>97.01329843652546</c:v>
                </c:pt>
                <c:pt idx="418">
                  <c:v>96.855464329976101</c:v>
                </c:pt>
                <c:pt idx="419">
                  <c:v>96.70110376946559</c:v>
                </c:pt>
                <c:pt idx="420">
                  <c:v>96.550145484051313</c:v>
                </c:pt>
                <c:pt idx="421">
                  <c:v>96.402519321745686</c:v>
                </c:pt>
                <c:pt idx="422">
                  <c:v>96.258156255836141</c:v>
                </c:pt>
                <c:pt idx="423">
                  <c:v>96.11698838912929</c:v>
                </c:pt>
                <c:pt idx="424">
                  <c:v>95.978948956276284</c:v>
                </c:pt>
                <c:pt idx="425">
                  <c:v>95.843972324326487</c:v>
                </c:pt>
                <c:pt idx="426">
                  <c:v>95.711993991648413</c:v>
                </c:pt>
                <c:pt idx="427">
                  <c:v>95.582950585349735</c:v>
                </c:pt>
                <c:pt idx="428">
                  <c:v>95.456779857318921</c:v>
                </c:pt>
                <c:pt idx="429">
                  <c:v>95.333420679003964</c:v>
                </c:pt>
                <c:pt idx="430">
                  <c:v>95.212813035037797</c:v>
                </c:pt>
                <c:pt idx="431">
                  <c:v>95.09489801581185</c:v>
                </c:pt>
                <c:pt idx="432">
                  <c:v>94.979617809093469</c:v>
                </c:pt>
                <c:pt idx="433">
                  <c:v>94.866915690776011</c:v>
                </c:pt>
                <c:pt idx="434">
                  <c:v>94.75673601484651</c:v>
                </c:pt>
                <c:pt idx="435">
                  <c:v>94.649024202648121</c:v>
                </c:pt>
                <c:pt idx="436">
                  <c:v>94.543726731510475</c:v>
                </c:pt>
                <c:pt idx="437">
                  <c:v>94.44079112281662</c:v>
                </c:pt>
                <c:pt idx="438">
                  <c:v>94.340165929569309</c:v>
                </c:pt>
                <c:pt idx="439">
                  <c:v>94.241800723516221</c:v>
                </c:pt>
                <c:pt idx="440">
                  <c:v>94.145646081888955</c:v>
                </c:pt>
                <c:pt idx="441">
                  <c:v>94.051653573806703</c:v>
                </c:pt>
                <c:pt idx="442">
                  <c:v>93.959775746392125</c:v>
                </c:pt>
                <c:pt idx="443">
                  <c:v>93.869966110643674</c:v>
                </c:pt>
                <c:pt idx="444">
                  <c:v>93.782179127104627</c:v>
                </c:pt>
                <c:pt idx="445">
                  <c:v>93.696370191366782</c:v>
                </c:pt>
                <c:pt idx="446">
                  <c:v>93.612495619443735</c:v>
                </c:pt>
                <c:pt idx="447">
                  <c:v>93.530512633045348</c:v>
                </c:pt>
                <c:pt idx="448">
                  <c:v>93.450379344784281</c:v>
                </c:pt>
                <c:pt idx="449">
                  <c:v>93.372054743339916</c:v>
                </c:pt>
                <c:pt idx="450">
                  <c:v>93.295498678607004</c:v>
                </c:pt>
                <c:pt idx="451">
                  <c:v>93.220671846850067</c:v>
                </c:pt>
                <c:pt idx="452">
                  <c:v>93.147535775886041</c:v>
                </c:pt>
                <c:pt idx="453">
                  <c:v>93.076052810313485</c:v>
                </c:pt>
                <c:pt idx="454">
                  <c:v>93.006186096806701</c:v>
                </c:pt>
                <c:pt idx="455">
                  <c:v>92.937899569490355</c:v>
                </c:pt>
                <c:pt idx="456">
                  <c:v>92.87115793540903</c:v>
                </c:pt>
                <c:pt idx="457">
                  <c:v>92.805926660105683</c:v>
                </c:pt>
                <c:pt idx="458">
                  <c:v>92.74217195331984</c:v>
                </c:pt>
                <c:pt idx="459">
                  <c:v>92.679860754816971</c:v>
                </c:pt>
                <c:pt idx="460">
                  <c:v>92.61896072035897</c:v>
                </c:pt>
                <c:pt idx="461">
                  <c:v>92.5594402078233</c:v>
                </c:pt>
                <c:pt idx="462">
                  <c:v>92.501268263479503</c:v>
                </c:pt>
                <c:pt idx="463">
                  <c:v>92.444414608429369</c:v>
                </c:pt>
                <c:pt idx="464">
                  <c:v>92.388849625216736</c:v>
                </c:pt>
                <c:pt idx="465">
                  <c:v>92.334544344612226</c:v>
                </c:pt>
                <c:pt idx="466">
                  <c:v>92.28147043257772</c:v>
                </c:pt>
                <c:pt idx="467">
                  <c:v>92.229600177413516</c:v>
                </c:pt>
                <c:pt idx="468">
                  <c:v>92.178906477092525</c:v>
                </c:pt>
                <c:pt idx="469">
                  <c:v>92.129362826783577</c:v>
                </c:pt>
                <c:pt idx="470">
                  <c:v>92.080943306566184</c:v>
                </c:pt>
                <c:pt idx="471">
                  <c:v>92.033622569338121</c:v>
                </c:pt>
                <c:pt idx="472">
                  <c:v>91.987375828918061</c:v>
                </c:pt>
                <c:pt idx="473">
                  <c:v>91.942178848342962</c:v>
                </c:pt>
                <c:pt idx="474">
                  <c:v>91.89800792836165</c:v>
                </c:pt>
                <c:pt idx="475">
                  <c:v>91.854839896124275</c:v>
                </c:pt>
                <c:pt idx="476">
                  <c:v>91.812652094067687</c:v>
                </c:pt>
                <c:pt idx="477">
                  <c:v>91.771422368996355</c:v>
                </c:pt>
                <c:pt idx="478">
                  <c:v>91.731129061358146</c:v>
                </c:pt>
                <c:pt idx="479">
                  <c:v>91.691750994713999</c:v>
                </c:pt>
                <c:pt idx="480">
                  <c:v>91.653267465400461</c:v>
                </c:pt>
                <c:pt idx="481">
                  <c:v>91.615658232383794</c:v>
                </c:pt>
                <c:pt idx="482">
                  <c:v>91.578903507304247</c:v>
                </c:pt>
                <c:pt idx="483">
                  <c:v>91.542983944708595</c:v>
                </c:pt>
                <c:pt idx="484">
                  <c:v>91.507880632469593</c:v>
                </c:pt>
                <c:pt idx="485">
                  <c:v>91.473575082390013</c:v>
                </c:pt>
                <c:pt idx="486">
                  <c:v>91.440049220989749</c:v>
                </c:pt>
                <c:pt idx="487">
                  <c:v>91.407285380473297</c:v>
                </c:pt>
                <c:pt idx="488">
                  <c:v>91.375266289876038</c:v>
                </c:pt>
                <c:pt idx="489">
                  <c:v>91.343975066386562</c:v>
                </c:pt>
                <c:pt idx="490">
                  <c:v>91.313395206842983</c:v>
                </c:pt>
                <c:pt idx="491">
                  <c:v>91.283510579400726</c:v>
                </c:pt>
                <c:pt idx="492">
                  <c:v>91.254305415369416</c:v>
                </c:pt>
                <c:pt idx="493">
                  <c:v>91.225764301216387</c:v>
                </c:pt>
                <c:pt idx="494">
                  <c:v>91.197872170734044</c:v>
                </c:pt>
                <c:pt idx="495">
                  <c:v>91.170614297369184</c:v>
                </c:pt>
                <c:pt idx="496">
                  <c:v>91.143976286710782</c:v>
                </c:pt>
                <c:pt idx="497">
                  <c:v>91.117944069134552</c:v>
                </c:pt>
                <c:pt idx="498">
                  <c:v>91.092503892601115</c:v>
                </c:pt>
                <c:pt idx="499">
                  <c:v>91.06764231560534</c:v>
                </c:pt>
                <c:pt idx="500">
                  <c:v>91.043346200274485</c:v>
                </c:pt>
                <c:pt idx="501">
                  <c:v>91.019602705612101</c:v>
                </c:pt>
                <c:pt idx="502">
                  <c:v>90.996399280885612</c:v>
                </c:pt>
                <c:pt idx="503">
                  <c:v>90.973723659154459</c:v>
                </c:pt>
                <c:pt idx="504">
                  <c:v>90.95156385093685</c:v>
                </c:pt>
                <c:pt idx="505">
                  <c:v>90.92990813801201</c:v>
                </c:pt>
                <c:pt idx="506">
                  <c:v>90.908745067355738</c:v>
                </c:pt>
                <c:pt idx="507">
                  <c:v>90.888063445206654</c:v>
                </c:pt>
                <c:pt idx="508">
                  <c:v>90.867852331260707</c:v>
                </c:pt>
                <c:pt idx="509">
                  <c:v>90.848101032991252</c:v>
                </c:pt>
                <c:pt idx="510">
                  <c:v>90.828799100092752</c:v>
                </c:pt>
                <c:pt idx="511">
                  <c:v>90.80993631904515</c:v>
                </c:pt>
                <c:pt idx="512">
                  <c:v>90.791502707796738</c:v>
                </c:pt>
                <c:pt idx="513">
                  <c:v>90.773488510563467</c:v>
                </c:pt>
                <c:pt idx="514">
                  <c:v>90.755884192741817</c:v>
                </c:pt>
                <c:pt idx="515">
                  <c:v>90.738680435933375</c:v>
                </c:pt>
                <c:pt idx="516">
                  <c:v>90.721868133078715</c:v>
                </c:pt>
                <c:pt idx="517">
                  <c:v>90.70543838369835</c:v>
                </c:pt>
                <c:pt idx="518">
                  <c:v>90.689382489238497</c:v>
                </c:pt>
                <c:pt idx="519">
                  <c:v>90.673691948519746</c:v>
                </c:pt>
                <c:pt idx="520">
                  <c:v>90.658358453286098</c:v>
                </c:pt>
                <c:pt idx="521">
                  <c:v>90.643373883852746</c:v>
                </c:pt>
                <c:pt idx="522">
                  <c:v>90.628730304850194</c:v>
                </c:pt>
                <c:pt idx="523">
                  <c:v>90.614419961062822</c:v>
                </c:pt>
                <c:pt idx="524">
                  <c:v>90.600435273359906</c:v>
                </c:pt>
                <c:pt idx="525">
                  <c:v>90.586768834717205</c:v>
                </c:pt>
                <c:pt idx="526">
                  <c:v>90.573413406326978</c:v>
                </c:pt>
                <c:pt idx="527">
                  <c:v>90.56036191379485</c:v>
                </c:pt>
                <c:pt idx="528">
                  <c:v>90.547607443421498</c:v>
                </c:pt>
                <c:pt idx="529">
                  <c:v>90.535143238567215</c:v>
                </c:pt>
                <c:pt idx="530">
                  <c:v>90.522962696097963</c:v>
                </c:pt>
                <c:pt idx="531">
                  <c:v>90.511059362910657</c:v>
                </c:pt>
                <c:pt idx="532">
                  <c:v>90.499426932536508</c:v>
                </c:pt>
                <c:pt idx="533">
                  <c:v>90.488059241820224</c:v>
                </c:pt>
                <c:pt idx="534">
                  <c:v>90.4769502676738</c:v>
                </c:pt>
                <c:pt idx="535">
                  <c:v>90.46609412390309</c:v>
                </c:pt>
                <c:pt idx="536">
                  <c:v>90.455485058105594</c:v>
                </c:pt>
                <c:pt idx="537">
                  <c:v>90.445117448638058</c:v>
                </c:pt>
                <c:pt idx="538">
                  <c:v>90.43498580165199</c:v>
                </c:pt>
                <c:pt idx="539">
                  <c:v>90.42508474819617</c:v>
                </c:pt>
                <c:pt idx="540">
                  <c:v>90.415409041384024</c:v>
                </c:pt>
                <c:pt idx="541">
                  <c:v>90.405953553625096</c:v>
                </c:pt>
              </c:numCache>
            </c:numRef>
          </c:yVal>
          <c:smooth val="1"/>
          <c:extLst>
            <c:ext xmlns:c16="http://schemas.microsoft.com/office/drawing/2014/chart" uri="{C3380CC4-5D6E-409C-BE32-E72D297353CC}">
              <c16:uniqueId val="{00000001-14B6-4D85-8680-2B593F1D4BA1}"/>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D79D-4EDD-8124-7E4A2DA837F1}"/>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1-D79D-4EDD-8124-7E4A2DA837F1}"/>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08D7-4CB3-BFF7-8A5CABBAA1A1}"/>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08D7-4CB3-BFF7-8A5CABBAA1A1}"/>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AD02-4E77-BCEA-6723877BAF23}"/>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AD02-4E77-BCEA-6723877BAF23}"/>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64.233305288018542</c:v>
                </c:pt>
                <c:pt idx="1">
                  <c:v>64.033203585086611</c:v>
                </c:pt>
                <c:pt idx="2">
                  <c:v>63.833097092596333</c:v>
                </c:pt>
                <c:pt idx="3">
                  <c:v>63.6329855851655</c:v>
                </c:pt>
                <c:pt idx="4">
                  <c:v>63.432868826822684</c:v>
                </c:pt>
                <c:pt idx="5">
                  <c:v>63.232746570511758</c:v>
                </c:pt>
                <c:pt idx="6">
                  <c:v>63.032618557573073</c:v>
                </c:pt>
                <c:pt idx="7">
                  <c:v>62.832484517200122</c:v>
                </c:pt>
                <c:pt idx="8">
                  <c:v>62.63234416587126</c:v>
                </c:pt>
                <c:pt idx="9">
                  <c:v>62.432197206755262</c:v>
                </c:pt>
                <c:pt idx="10">
                  <c:v>62.232043329088995</c:v>
                </c:pt>
                <c:pt idx="11">
                  <c:v>62.031882207526337</c:v>
                </c:pt>
                <c:pt idx="12">
                  <c:v>61.831713501456974</c:v>
                </c:pt>
                <c:pt idx="13">
                  <c:v>61.631536854293614</c:v>
                </c:pt>
                <c:pt idx="14">
                  <c:v>61.431351892726489</c:v>
                </c:pt>
                <c:pt idx="15">
                  <c:v>61.231158225942664</c:v>
                </c:pt>
                <c:pt idx="16">
                  <c:v>61.030955444810651</c:v>
                </c:pt>
                <c:pt idx="17">
                  <c:v>60.830743121025812</c:v>
                </c:pt>
                <c:pt idx="18">
                  <c:v>60.630520806218186</c:v>
                </c:pt>
                <c:pt idx="19">
                  <c:v>60.430288031017469</c:v>
                </c:pt>
                <c:pt idx="20">
                  <c:v>60.230044304076387</c:v>
                </c:pt>
                <c:pt idx="21">
                  <c:v>60.029789111048693</c:v>
                </c:pt>
                <c:pt idx="22">
                  <c:v>59.829521913520082</c:v>
                </c:pt>
                <c:pt idx="23">
                  <c:v>59.629242147891205</c:v>
                </c:pt>
                <c:pt idx="24">
                  <c:v>59.428949224208154</c:v>
                </c:pt>
                <c:pt idx="25">
                  <c:v>59.228642524940661</c:v>
                </c:pt>
                <c:pt idx="26">
                  <c:v>59.028321403704425</c:v>
                </c:pt>
                <c:pt idx="27">
                  <c:v>58.827985183924916</c:v>
                </c:pt>
                <c:pt idx="28">
                  <c:v>58.627633157441082</c:v>
                </c:pt>
                <c:pt idx="29">
                  <c:v>58.427264583045115</c:v>
                </c:pt>
                <c:pt idx="30">
                  <c:v>58.226878684956738</c:v>
                </c:pt>
                <c:pt idx="31">
                  <c:v>58.026474651228391</c:v>
                </c:pt>
                <c:pt idx="32">
                  <c:v>57.826051632078261</c:v>
                </c:pt>
                <c:pt idx="33">
                  <c:v>57.625608738148877</c:v>
                </c:pt>
                <c:pt idx="34">
                  <c:v>57.425145038687205</c:v>
                </c:pt>
                <c:pt idx="35">
                  <c:v>57.224659559643612</c:v>
                </c:pt>
                <c:pt idx="36">
                  <c:v>57.024151281685427</c:v>
                </c:pt>
                <c:pt idx="37">
                  <c:v>56.823619138123085</c:v>
                </c:pt>
                <c:pt idx="38">
                  <c:v>56.623062012743041</c:v>
                </c:pt>
                <c:pt idx="39">
                  <c:v>56.422478737545802</c:v>
                </c:pt>
                <c:pt idx="40">
                  <c:v>56.22186809038341</c:v>
                </c:pt>
                <c:pt idx="41">
                  <c:v>56.021228792493851</c:v>
                </c:pt>
                <c:pt idx="42">
                  <c:v>55.820559505926298</c:v>
                </c:pt>
                <c:pt idx="43">
                  <c:v>55.619858830855264</c:v>
                </c:pt>
                <c:pt idx="44">
                  <c:v>55.419125302777068</c:v>
                </c:pt>
                <c:pt idx="45">
                  <c:v>55.218357389585478</c:v>
                </c:pt>
                <c:pt idx="46">
                  <c:v>55.017553488520292</c:v>
                </c:pt>
                <c:pt idx="47">
                  <c:v>54.816711922986656</c:v>
                </c:pt>
                <c:pt idx="48">
                  <c:v>54.615830939236417</c:v>
                </c:pt>
                <c:pt idx="49">
                  <c:v>54.414908702910274</c:v>
                </c:pt>
                <c:pt idx="50">
                  <c:v>54.21394329543304</c:v>
                </c:pt>
                <c:pt idx="51">
                  <c:v>54.012932710256734</c:v>
                </c:pt>
                <c:pt idx="52">
                  <c:v>53.811874848947916</c:v>
                </c:pt>
                <c:pt idx="53">
                  <c:v>53.610767517112023</c:v>
                </c:pt>
                <c:pt idx="54">
                  <c:v>53.409608420149361</c:v>
                </c:pt>
                <c:pt idx="55">
                  <c:v>53.20839515883808</c:v>
                </c:pt>
                <c:pt idx="56">
                  <c:v>53.007125224736939</c:v>
                </c:pt>
                <c:pt idx="57">
                  <c:v>52.80579599540328</c:v>
                </c:pt>
                <c:pt idx="58">
                  <c:v>52.604404729419613</c:v>
                </c:pt>
                <c:pt idx="59">
                  <c:v>52.402948561223681</c:v>
                </c:pt>
                <c:pt idx="60">
                  <c:v>52.201424495735232</c:v>
                </c:pt>
                <c:pt idx="61">
                  <c:v>51.999829402774608</c:v>
                </c:pt>
                <c:pt idx="62">
                  <c:v>51.798160011266809</c:v>
                </c:pt>
                <c:pt idx="63">
                  <c:v>51.596412903225755</c:v>
                </c:pt>
                <c:pt idx="64">
                  <c:v>51.394584507513528</c:v>
                </c:pt>
                <c:pt idx="65">
                  <c:v>51.192671093367935</c:v>
                </c:pt>
                <c:pt idx="66">
                  <c:v>50.990668763695204</c:v>
                </c:pt>
                <c:pt idx="67">
                  <c:v>50.788573448121134</c:v>
                </c:pt>
                <c:pt idx="68">
                  <c:v>50.586380895798165</c:v>
                </c:pt>
                <c:pt idx="69">
                  <c:v>50.384086667961384</c:v>
                </c:pt>
                <c:pt idx="70">
                  <c:v>50.181686130233416</c:v>
                </c:pt>
                <c:pt idx="71">
                  <c:v>49.97917444467091</c:v>
                </c:pt>
                <c:pt idx="72">
                  <c:v>49.776546561554547</c:v>
                </c:pt>
                <c:pt idx="73">
                  <c:v>49.573797210915849</c:v>
                </c:pt>
                <c:pt idx="74">
                  <c:v>49.370920893804175</c:v>
                </c:pt>
                <c:pt idx="75">
                  <c:v>49.167911873289384</c:v>
                </c:pt>
                <c:pt idx="76">
                  <c:v>48.964764165205835</c:v>
                </c:pt>
                <c:pt idx="77">
                  <c:v>48.761471528633599</c:v>
                </c:pt>
                <c:pt idx="78">
                  <c:v>48.558027456126148</c:v>
                </c:pt>
                <c:pt idx="79">
                  <c:v>48.354425163683487</c:v>
                </c:pt>
                <c:pt idx="80">
                  <c:v>48.150657580481031</c:v>
                </c:pt>
                <c:pt idx="81">
                  <c:v>47.946717338359335</c:v>
                </c:pt>
                <c:pt idx="82">
                  <c:v>47.742596761085366</c:v>
                </c:pt>
                <c:pt idx="83">
                  <c:v>47.538287853396255</c:v>
                </c:pt>
                <c:pt idx="84">
                  <c:v>47.333782289840656</c:v>
                </c:pt>
                <c:pt idx="85">
                  <c:v>47.129071403432718</c:v>
                </c:pt>
                <c:pt idx="86">
                  <c:v>46.92414617413823</c:v>
                </c:pt>
                <c:pt idx="87">
                  <c:v>46.718997217215936</c:v>
                </c:pt>
                <c:pt idx="88">
                  <c:v>46.513614771437624</c:v>
                </c:pt>
                <c:pt idx="89">
                  <c:v>46.307988687216977</c:v>
                </c:pt>
                <c:pt idx="90">
                  <c:v>46.102108414678717</c:v>
                </c:pt>
                <c:pt idx="91">
                  <c:v>45.895962991705723</c:v>
                </c:pt>
                <c:pt idx="92">
                  <c:v>45.689541032002964</c:v>
                </c:pt>
                <c:pt idx="93">
                  <c:v>45.482830713225944</c:v>
                </c:pt>
                <c:pt idx="94">
                  <c:v>45.275819765221705</c:v>
                </c:pt>
                <c:pt idx="95">
                  <c:v>45.068495458440488</c:v>
                </c:pt>
                <c:pt idx="96">
                  <c:v>44.860844592576903</c:v>
                </c:pt>
                <c:pt idx="97">
                  <c:v>44.652853485509254</c:v>
                </c:pt>
                <c:pt idx="98">
                  <c:v>44.444507962609876</c:v>
                </c:pt>
                <c:pt idx="99">
                  <c:v>44.235793346506824</c:v>
                </c:pt>
                <c:pt idx="100">
                  <c:v>44.026694447383264</c:v>
                </c:pt>
                <c:pt idx="101">
                  <c:v>43.817195553908377</c:v>
                </c:pt>
                <c:pt idx="102">
                  <c:v>43.607280424902939</c:v>
                </c:pt>
                <c:pt idx="103">
                  <c:v>43.396932281845679</c:v>
                </c:pt>
                <c:pt idx="104">
                  <c:v>43.186133802340443</c:v>
                </c:pt>
                <c:pt idx="105">
                  <c:v>42.974867114667546</c:v>
                </c:pt>
                <c:pt idx="106">
                  <c:v>42.763113793552833</c:v>
                </c:pt>
                <c:pt idx="107">
                  <c:v>42.550854857296159</c:v>
                </c:pt>
                <c:pt idx="108">
                  <c:v>42.338070766409203</c:v>
                </c:pt>
                <c:pt idx="109">
                  <c:v>42.124741423919275</c:v>
                </c:pt>
                <c:pt idx="110">
                  <c:v>41.910846177506627</c:v>
                </c:pt>
                <c:pt idx="111">
                  <c:v>41.696363823646848</c:v>
                </c:pt>
                <c:pt idx="112">
                  <c:v>41.481272613939595</c:v>
                </c:pt>
                <c:pt idx="113">
                  <c:v>41.265550263811576</c:v>
                </c:pt>
                <c:pt idx="114">
                  <c:v>41.049173963784888</c:v>
                </c:pt>
                <c:pt idx="115">
                  <c:v>40.832120393510827</c:v>
                </c:pt>
                <c:pt idx="116">
                  <c:v>40.614365738770168</c:v>
                </c:pt>
                <c:pt idx="117">
                  <c:v>40.395885711645377</c:v>
                </c:pt>
                <c:pt idx="118">
                  <c:v>40.176655574070978</c:v>
                </c:pt>
                <c:pt idx="119">
                  <c:v>39.956650164967648</c:v>
                </c:pt>
                <c:pt idx="120">
                  <c:v>39.735843931165476</c:v>
                </c:pt>
                <c:pt idx="121">
                  <c:v>39.514210962314721</c:v>
                </c:pt>
                <c:pt idx="122">
                  <c:v>39.29172502997816</c:v>
                </c:pt>
                <c:pt idx="123">
                  <c:v>39.068359631089763</c:v>
                </c:pt>
                <c:pt idx="124">
                  <c:v>38.844088035951934</c:v>
                </c:pt>
                <c:pt idx="125">
                  <c:v>38.618883340929372</c:v>
                </c:pt>
                <c:pt idx="126">
                  <c:v>38.392718525979951</c:v>
                </c:pt>
                <c:pt idx="127">
                  <c:v>38.165566517142111</c:v>
                </c:pt>
                <c:pt idx="128">
                  <c:v>37.937400254071918</c:v>
                </c:pt>
                <c:pt idx="129">
                  <c:v>37.708192762696982</c:v>
                </c:pt>
                <c:pt idx="130">
                  <c:v>37.477917233021202</c:v>
                </c:pt>
                <c:pt idx="131">
                  <c:v>37.246547102078324</c:v>
                </c:pt>
                <c:pt idx="132">
                  <c:v>37.014056141993322</c:v>
                </c:pt>
                <c:pt idx="133">
                  <c:v>36.78041855306838</c:v>
                </c:pt>
                <c:pt idx="134">
                  <c:v>36.54560906176166</c:v>
                </c:pt>
                <c:pt idx="135">
                  <c:v>36.309603023379445</c:v>
                </c:pt>
                <c:pt idx="136">
                  <c:v>36.072376529247379</c:v>
                </c:pt>
                <c:pt idx="137">
                  <c:v>35.833906518073618</c:v>
                </c:pt>
                <c:pt idx="138">
                  <c:v>35.594170891156146</c:v>
                </c:pt>
                <c:pt idx="139">
                  <c:v>35.353148631030116</c:v>
                </c:pt>
                <c:pt idx="140">
                  <c:v>35.110819923089295</c:v>
                </c:pt>
                <c:pt idx="141">
                  <c:v>34.867166279656161</c:v>
                </c:pt>
                <c:pt idx="142">
                  <c:v>34.622170665915135</c:v>
                </c:pt>
                <c:pt idx="143">
                  <c:v>34.375817627065231</c:v>
                </c:pt>
                <c:pt idx="144">
                  <c:v>34.128093415991835</c:v>
                </c:pt>
                <c:pt idx="145">
                  <c:v>33.878986120705306</c:v>
                </c:pt>
                <c:pt idx="146">
                  <c:v>33.628485790744321</c:v>
                </c:pt>
                <c:pt idx="147">
                  <c:v>33.376584561698827</c:v>
                </c:pt>
                <c:pt idx="148">
                  <c:v>33.123276776970926</c:v>
                </c:pt>
                <c:pt idx="149">
                  <c:v>32.868559105859532</c:v>
                </c:pt>
                <c:pt idx="150">
                  <c:v>32.612430657034295</c:v>
                </c:pt>
                <c:pt idx="151">
                  <c:v>32.354893086448115</c:v>
                </c:pt>
                <c:pt idx="152">
                  <c:v>32.095950698735145</c:v>
                </c:pt>
                <c:pt idx="153">
                  <c:v>31.835610541145115</c:v>
                </c:pt>
                <c:pt idx="154">
                  <c:v>31.573882489079672</c:v>
                </c:pt>
                <c:pt idx="155">
                  <c:v>31.310779322323924</c:v>
                </c:pt>
                <c:pt idx="156">
                  <c:v>31.046316791102701</c:v>
                </c:pt>
                <c:pt idx="157">
                  <c:v>30.780513671134425</c:v>
                </c:pt>
                <c:pt idx="158">
                  <c:v>30.513391806919842</c:v>
                </c:pt>
                <c:pt idx="159">
                  <c:v>30.244976142561562</c:v>
                </c:pt>
                <c:pt idx="160">
                  <c:v>29.975294739491943</c:v>
                </c:pt>
                <c:pt idx="161">
                  <c:v>29.704378780569762</c:v>
                </c:pt>
                <c:pt idx="162">
                  <c:v>29.43226256009542</c:v>
                </c:pt>
                <c:pt idx="163">
                  <c:v>29.15898345939538</c:v>
                </c:pt>
                <c:pt idx="164">
                  <c:v>28.884581907730407</c:v>
                </c:pt>
                <c:pt idx="165">
                  <c:v>28.609101328383257</c:v>
                </c:pt>
                <c:pt idx="166">
                  <c:v>28.332588069901178</c:v>
                </c:pt>
                <c:pt idx="167">
                  <c:v>28.055091322570945</c:v>
                </c:pt>
                <c:pt idx="168">
                  <c:v>27.776663020320065</c:v>
                </c:pt>
                <c:pt idx="169">
                  <c:v>27.49735772835059</c:v>
                </c:pt>
                <c:pt idx="170">
                  <c:v>27.217232516913931</c:v>
                </c:pt>
                <c:pt idx="171">
                  <c:v>26.93634682174681</c:v>
                </c:pt>
                <c:pt idx="172">
                  <c:v>26.654762291784788</c:v>
                </c:pt>
                <c:pt idx="173">
                  <c:v>26.372542624869485</c:v>
                </c:pt>
                <c:pt idx="174">
                  <c:v>26.089753392249385</c:v>
                </c:pt>
                <c:pt idx="175">
                  <c:v>25.806461852764599</c:v>
                </c:pt>
                <c:pt idx="176">
                  <c:v>25.522736757674878</c:v>
                </c:pt>
                <c:pt idx="177">
                  <c:v>25.23864814716395</c:v>
                </c:pt>
                <c:pt idx="178">
                  <c:v>24.954267139607911</c:v>
                </c:pt>
                <c:pt idx="179">
                  <c:v>24.669665714752476</c:v>
                </c:pt>
                <c:pt idx="180">
                  <c:v>24.384916491981944</c:v>
                </c:pt>
                <c:pt idx="181">
                  <c:v>24.100092504903419</c:v>
                </c:pt>
                <c:pt idx="182">
                  <c:v>23.815266973487368</c:v>
                </c:pt>
                <c:pt idx="183">
                  <c:v>23.530513075030299</c:v>
                </c:pt>
                <c:pt idx="184">
                  <c:v>23.245903715209444</c:v>
                </c:pt>
                <c:pt idx="185">
                  <c:v>22.961511300497154</c:v>
                </c:pt>
                <c:pt idx="186">
                  <c:v>22.677407513195895</c:v>
                </c:pt>
                <c:pt idx="187">
                  <c:v>22.393663090335018</c:v>
                </c:pt>
                <c:pt idx="188">
                  <c:v>22.110347607640254</c:v>
                </c:pt>
                <c:pt idx="189">
                  <c:v>21.827529269754567</c:v>
                </c:pt>
                <c:pt idx="190">
                  <c:v>21.545274707840733</c:v>
                </c:pt>
                <c:pt idx="191">
                  <c:v>21.263648785643984</c:v>
                </c:pt>
                <c:pt idx="192">
                  <c:v>20.982714415029726</c:v>
                </c:pt>
                <c:pt idx="193">
                  <c:v>20.702532381944231</c:v>
                </c:pt>
                <c:pt idx="194">
                  <c:v>20.423161183664874</c:v>
                </c:pt>
                <c:pt idx="195">
                  <c:v>20.144656878125524</c:v>
                </c:pt>
                <c:pt idx="196">
                  <c:v>19.86707294600868</c:v>
                </c:pt>
                <c:pt idx="197">
                  <c:v>19.590460166201634</c:v>
                </c:pt>
                <c:pt idx="198">
                  <c:v>19.314866505109435</c:v>
                </c:pt>
                <c:pt idx="199">
                  <c:v>19.040337020213233</c:v>
                </c:pt>
                <c:pt idx="200">
                  <c:v>18.766913778152905</c:v>
                </c:pt>
                <c:pt idx="201">
                  <c:v>18.494635787501007</c:v>
                </c:pt>
                <c:pt idx="202">
                  <c:v>18.223538946284556</c:v>
                </c:pt>
                <c:pt idx="203">
                  <c:v>17.953656004198994</c:v>
                </c:pt>
                <c:pt idx="204">
                  <c:v>17.685016539348538</c:v>
                </c:pt>
                <c:pt idx="205">
                  <c:v>17.417646949241593</c:v>
                </c:pt>
                <c:pt idx="206">
                  <c:v>17.151570455666707</c:v>
                </c:pt>
                <c:pt idx="207">
                  <c:v>16.886807122977633</c:v>
                </c:pt>
                <c:pt idx="208">
                  <c:v>16.623373889226258</c:v>
                </c:pt>
                <c:pt idx="209">
                  <c:v>16.361284609498004</c:v>
                </c:pt>
                <c:pt idx="210">
                  <c:v>16.100550110732151</c:v>
                </c:pt>
                <c:pt idx="211">
                  <c:v>15.841178257242127</c:v>
                </c:pt>
                <c:pt idx="212">
                  <c:v>15.583174026097726</c:v>
                </c:pt>
                <c:pt idx="213">
                  <c:v>15.326539591484195</c:v>
                </c:pt>
                <c:pt idx="214">
                  <c:v>15.071274417120906</c:v>
                </c:pt>
                <c:pt idx="215">
                  <c:v>14.817375355795743</c:v>
                </c:pt>
                <c:pt idx="216">
                  <c:v>14.564836755061176</c:v>
                </c:pt>
                <c:pt idx="217">
                  <c:v>14.313650568130914</c:v>
                </c:pt>
                <c:pt idx="218">
                  <c:v>14.063806469026026</c:v>
                </c:pt>
                <c:pt idx="219">
                  <c:v>13.815291971032885</c:v>
                </c:pt>
                <c:pt idx="220">
                  <c:v>13.568092547559802</c:v>
                </c:pt>
                <c:pt idx="221">
                  <c:v>13.322191754511417</c:v>
                </c:pt>
                <c:pt idx="222">
                  <c:v>13.077571353339138</c:v>
                </c:pt>
                <c:pt idx="223">
                  <c:v>12.834211433968466</c:v>
                </c:pt>
                <c:pt idx="224">
                  <c:v>12.592090536856354</c:v>
                </c:pt>
                <c:pt idx="225">
                  <c:v>12.351185773482737</c:v>
                </c:pt>
                <c:pt idx="226">
                  <c:v>12.111472944639095</c:v>
                </c:pt>
                <c:pt idx="227">
                  <c:v>11.872926655934052</c:v>
                </c:pt>
                <c:pt idx="228">
                  <c:v>11.635520429997124</c:v>
                </c:pt>
                <c:pt idx="229">
                  <c:v>11.399226814921001</c:v>
                </c:pt>
                <c:pt idx="230">
                  <c:v>11.164017488544172</c:v>
                </c:pt>
                <c:pt idx="231">
                  <c:v>10.92986335823271</c:v>
                </c:pt>
                <c:pt idx="232">
                  <c:v>10.696734655879531</c:v>
                </c:pt>
                <c:pt idx="233">
                  <c:v>10.464601027892506</c:v>
                </c:pt>
                <c:pt idx="234">
                  <c:v>10.233431619996642</c:v>
                </c:pt>
                <c:pt idx="235">
                  <c:v>10.003195156724434</c:v>
                </c:pt>
                <c:pt idx="236">
                  <c:v>9.7738600155141864</c:v>
                </c:pt>
                <c:pt idx="237">
                  <c:v>9.5453942953801949</c:v>
                </c:pt>
                <c:pt idx="238">
                  <c:v>9.3177658801567844</c:v>
                </c:pt>
                <c:pt idx="239">
                  <c:v>9.0909424963532359</c:v>
                </c:pt>
                <c:pt idx="240">
                  <c:v>8.8648917656901318</c:v>
                </c:pt>
                <c:pt idx="241">
                  <c:v>8.6395812524147804</c:v>
                </c:pt>
                <c:pt idx="242">
                  <c:v>8.4149785055174711</c:v>
                </c:pt>
                <c:pt idx="243">
                  <c:v>8.1910510959940623</c:v>
                </c:pt>
                <c:pt idx="244">
                  <c:v>7.9677666493157284</c:v>
                </c:pt>
                <c:pt idx="245">
                  <c:v>7.7450928732849569</c:v>
                </c:pt>
                <c:pt idx="246">
                  <c:v>7.5229975814661785</c:v>
                </c:pt>
                <c:pt idx="247">
                  <c:v>7.3014487123927143</c:v>
                </c:pt>
                <c:pt idx="248">
                  <c:v>7.0804143447564289</c:v>
                </c:pt>
                <c:pt idx="249">
                  <c:v>6.8598627087939459</c:v>
                </c:pt>
                <c:pt idx="250">
                  <c:v>6.6397621940862255</c:v>
                </c:pt>
                <c:pt idx="251">
                  <c:v>6.4200813539902137</c:v>
                </c:pt>
                <c:pt idx="252">
                  <c:v>6.2007889069233926</c:v>
                </c:pt>
                <c:pt idx="253">
                  <c:v>5.9818537347196532</c:v>
                </c:pt>
                <c:pt idx="254">
                  <c:v>5.7632448782746204</c:v>
                </c:pt>
                <c:pt idx="255">
                  <c:v>5.5449315306980331</c:v>
                </c:pt>
                <c:pt idx="256">
                  <c:v>5.3268830281845556</c:v>
                </c:pt>
                <c:pt idx="257">
                  <c:v>5.1090688388146974</c:v>
                </c:pt>
                <c:pt idx="258">
                  <c:v>4.8914585494929046</c:v>
                </c:pt>
                <c:pt idx="259">
                  <c:v>4.6740218512265033</c:v>
                </c:pt>
                <c:pt idx="260">
                  <c:v>4.4567285229461699</c:v>
                </c:pt>
                <c:pt idx="261">
                  <c:v>4.2395484140653537</c:v>
                </c:pt>
                <c:pt idx="262">
                  <c:v>4.0224514259730562</c:v>
                </c:pt>
                <c:pt idx="263">
                  <c:v>3.8054074926522796</c:v>
                </c:pt>
                <c:pt idx="264">
                  <c:v>3.5883865606144489</c:v>
                </c:pt>
                <c:pt idx="265">
                  <c:v>3.3713585683360785</c:v>
                </c:pt>
                <c:pt idx="266">
                  <c:v>3.154293425387996</c:v>
                </c:pt>
                <c:pt idx="267">
                  <c:v>2.9371609914400247</c:v>
                </c:pt>
                <c:pt idx="268">
                  <c:v>2.7199310553306151</c:v>
                </c:pt>
                <c:pt idx="269">
                  <c:v>2.5025733143865199</c:v>
                </c:pt>
                <c:pt idx="270">
                  <c:v>2.2850573541808581</c:v>
                </c:pt>
                <c:pt idx="271">
                  <c:v>2.0673526289209194</c:v>
                </c:pt>
                <c:pt idx="272">
                  <c:v>1.8494284426545362</c:v>
                </c:pt>
                <c:pt idx="273">
                  <c:v>1.6312539314936028</c:v>
                </c:pt>
                <c:pt idx="274">
                  <c:v>1.4127980470484958</c:v>
                </c:pt>
                <c:pt idx="275">
                  <c:v>1.1940295412785427</c:v>
                </c:pt>
                <c:pt idx="276">
                  <c:v>0.97491695295978897</c:v>
                </c:pt>
                <c:pt idx="277">
                  <c:v>0.75542859598149714</c:v>
                </c:pt>
                <c:pt idx="278">
                  <c:v>0.5355325496836395</c:v>
                </c:pt>
                <c:pt idx="279">
                  <c:v>0.31519665145117509</c:v>
                </c:pt>
                <c:pt idx="280">
                  <c:v>9.438849178711492E-2</c:v>
                </c:pt>
                <c:pt idx="281">
                  <c:v>-0.1269245879125189</c:v>
                </c:pt>
                <c:pt idx="282">
                  <c:v>-0.34877549465501456</c:v>
                </c:pt>
                <c:pt idx="283">
                  <c:v>-0.57119737998906306</c:v>
                </c:pt>
                <c:pt idx="284">
                  <c:v>-0.79422363275497443</c:v>
                </c:pt>
                <c:pt idx="285">
                  <c:v>-1.0178878682157353</c:v>
                </c:pt>
                <c:pt idx="286">
                  <c:v>-1.2422239133398318</c:v>
                </c:pt>
                <c:pt idx="287">
                  <c:v>-1.4672657880091113</c:v>
                </c:pt>
                <c:pt idx="288">
                  <c:v>-1.6930476819291096</c:v>
                </c:pt>
                <c:pt idx="289">
                  <c:v>-1.9196039270248462</c:v>
                </c:pt>
                <c:pt idx="290">
                  <c:v>-2.1469689651170198</c:v>
                </c:pt>
                <c:pt idx="291">
                  <c:v>-2.3751773106783762</c:v>
                </c:pt>
                <c:pt idx="292">
                  <c:v>-2.604263508491985</c:v>
                </c:pt>
                <c:pt idx="293">
                  <c:v>-2.834262086040757</c:v>
                </c:pt>
                <c:pt idx="294">
                  <c:v>-3.065207500485772</c:v>
                </c:pt>
                <c:pt idx="295">
                  <c:v>-3.2971340801072491</c:v>
                </c:pt>
                <c:pt idx="296">
                  <c:v>-3.5300759601121912</c:v>
                </c:pt>
                <c:pt idx="297">
                  <c:v>-3.764067012740973</c:v>
                </c:pt>
                <c:pt idx="298">
                  <c:v>-3.9991407716385217</c:v>
                </c:pt>
                <c:pt idx="299">
                  <c:v>-4.235330350493987</c:v>
                </c:pt>
                <c:pt idx="300">
                  <c:v>-4.4726683559899927</c:v>
                </c:pt>
                <c:pt idx="301">
                  <c:v>-4.7111867951493647</c:v>
                </c:pt>
                <c:pt idx="302">
                  <c:v>-4.9509169772129171</c:v>
                </c:pt>
                <c:pt idx="303">
                  <c:v>-5.1918894102303152</c:v>
                </c:pt>
                <c:pt idx="304">
                  <c:v>-5.4341336925992989</c:v>
                </c:pt>
                <c:pt idx="305">
                  <c:v>-5.6776783998442042</c:v>
                </c:pt>
                <c:pt idx="306">
                  <c:v>-5.9225509669764289</c:v>
                </c:pt>
                <c:pt idx="307">
                  <c:v>-6.1687775668410447</c:v>
                </c:pt>
                <c:pt idx="308">
                  <c:v>-6.4163829849083012</c:v>
                </c:pt>
                <c:pt idx="309">
                  <c:v>-6.6653904910251214</c:v>
                </c:pt>
                <c:pt idx="310">
                  <c:v>-6.915821708699454</c:v>
                </c:pt>
                <c:pt idx="311">
                  <c:v>-7.1676964825418317</c:v>
                </c:pt>
                <c:pt idx="312">
                  <c:v>-7.4210327445412885</c:v>
                </c:pt>
                <c:pt idx="313">
                  <c:v>-7.6758463798963215</c:v>
                </c:pt>
                <c:pt idx="314">
                  <c:v>-7.9321510931685921</c:v>
                </c:pt>
                <c:pt idx="315">
                  <c:v>-8.1899582755591034</c:v>
                </c:pt>
                <c:pt idx="316">
                  <c:v>-8.4492768741404642</c:v>
                </c:pt>
                <c:pt idx="317">
                  <c:v>-8.7101132639003449</c:v>
                </c:pt>
                <c:pt idx="318">
                  <c:v>-8.9724711234671268</c:v>
                </c:pt>
                <c:pt idx="319">
                  <c:v>-9.2363513153960035</c:v>
                </c:pt>
                <c:pt idx="320">
                  <c:v>-9.5017517718940656</c:v>
                </c:pt>
                <c:pt idx="321">
                  <c:v>-9.7686673868478042</c:v>
                </c:pt>
                <c:pt idx="322">
                  <c:v>-10.037089915003332</c:v>
                </c:pt>
                <c:pt idx="323">
                  <c:v>-10.30700787911476</c:v>
                </c:pt>
                <c:pt idx="324">
                  <c:v>-10.578406485843878</c:v>
                </c:pt>
                <c:pt idx="325">
                  <c:v>-10.851267551143934</c:v>
                </c:pt>
                <c:pt idx="326">
                  <c:v>-11.125569435810711</c:v>
                </c:pt>
                <c:pt idx="327">
                  <c:v>-11.401286991819441</c:v>
                </c:pt>
                <c:pt idx="328">
                  <c:v>-11.678391520003453</c:v>
                </c:pt>
                <c:pt idx="329">
                  <c:v>-11.956850739553959</c:v>
                </c:pt>
                <c:pt idx="330">
                  <c:v>-12.236628769748009</c:v>
                </c:pt>
                <c:pt idx="331">
                  <c:v>-12.517686124230732</c:v>
                </c:pt>
                <c:pt idx="332">
                  <c:v>-12.799979718098466</c:v>
                </c:pt>
                <c:pt idx="333">
                  <c:v>-13.083462887949185</c:v>
                </c:pt>
                <c:pt idx="334">
                  <c:v>-13.368085424985907</c:v>
                </c:pt>
                <c:pt idx="335">
                  <c:v>-13.65379362118259</c:v>
                </c:pt>
                <c:pt idx="336">
                  <c:v>-13.9405303284477</c:v>
                </c:pt>
                <c:pt idx="337">
                  <c:v>-14.228235030650659</c:v>
                </c:pt>
                <c:pt idx="338">
                  <c:v>-14.516843928312309</c:v>
                </c:pt>
                <c:pt idx="339">
                  <c:v>-14.806290035700552</c:v>
                </c:pt>
                <c:pt idx="340">
                  <c:v>-15.096503290022056</c:v>
                </c:pt>
                <c:pt idx="341">
                  <c:v>-15.387410672352622</c:v>
                </c:pt>
                <c:pt idx="342">
                  <c:v>-15.678936339912216</c:v>
                </c:pt>
                <c:pt idx="343">
                  <c:v>-15.97100176925542</c:v>
                </c:pt>
                <c:pt idx="344">
                  <c:v>-16.263525909924969</c:v>
                </c:pt>
                <c:pt idx="345">
                  <c:v>-16.556425348093853</c:v>
                </c:pt>
                <c:pt idx="346">
                  <c:v>-16.849614479707562</c:v>
                </c:pt>
                <c:pt idx="347">
                  <c:v>-17.143005692626463</c:v>
                </c:pt>
                <c:pt idx="348">
                  <c:v>-17.436509557265136</c:v>
                </c:pt>
                <c:pt idx="349">
                  <c:v>-17.730035025216836</c:v>
                </c:pt>
                <c:pt idx="350">
                  <c:v>-18.023489635353716</c:v>
                </c:pt>
                <c:pt idx="351">
                  <c:v>-18.31677972688987</c:v>
                </c:pt>
                <c:pt idx="352">
                  <c:v>-18.609810658893291</c:v>
                </c:pt>
                <c:pt idx="353">
                  <c:v>-18.902487035730086</c:v>
                </c:pt>
                <c:pt idx="354">
                  <c:v>-19.194712937922382</c:v>
                </c:pt>
                <c:pt idx="355">
                  <c:v>-19.48639215788711</c:v>
                </c:pt>
                <c:pt idx="356">
                  <c:v>-19.7774284400213</c:v>
                </c:pt>
                <c:pt idx="357">
                  <c:v>-20.06772572457556</c:v>
                </c:pt>
                <c:pt idx="358">
                  <c:v>-20.357188394744735</c:v>
                </c:pt>
                <c:pt idx="359">
                  <c:v>-20.645721526375862</c:v>
                </c:pt>
                <c:pt idx="360">
                  <c:v>-20.933231139668077</c:v>
                </c:pt>
                <c:pt idx="361">
                  <c:v>-21.219624452204641</c:v>
                </c:pt>
                <c:pt idx="362">
                  <c:v>-21.504810132619752</c:v>
                </c:pt>
                <c:pt idx="363">
                  <c:v>-21.788698554162384</c:v>
                </c:pt>
                <c:pt idx="364">
                  <c:v>-22.071202047375568</c:v>
                </c:pt>
                <c:pt idx="365">
                  <c:v>-22.35223515106302</c:v>
                </c:pt>
                <c:pt idx="366">
                  <c:v>-22.631714860668623</c:v>
                </c:pt>
                <c:pt idx="367">
                  <c:v>-22.909560873146813</c:v>
                </c:pt>
                <c:pt idx="368">
                  <c:v>-23.185695827355758</c:v>
                </c:pt>
                <c:pt idx="369">
                  <c:v>-23.460045538961584</c:v>
                </c:pt>
                <c:pt idx="370">
                  <c:v>-23.732539228802835</c:v>
                </c:pt>
                <c:pt idx="371">
                  <c:v>-24.003109743628524</c:v>
                </c:pt>
                <c:pt idx="372">
                  <c:v>-24.27169376809475</c:v>
                </c:pt>
                <c:pt idx="373">
                  <c:v>-24.538232026884028</c:v>
                </c:pt>
                <c:pt idx="374">
                  <c:v>-24.802669475799068</c:v>
                </c:pt>
                <c:pt idx="375">
                  <c:v>-25.064955480680652</c:v>
                </c:pt>
                <c:pt idx="376">
                  <c:v>-25.325043983006044</c:v>
                </c:pt>
                <c:pt idx="377">
                  <c:v>-25.582893651045886</c:v>
                </c:pt>
                <c:pt idx="378">
                  <c:v>-25.838468015489603</c:v>
                </c:pt>
                <c:pt idx="379">
                  <c:v>-26.09173558849275</c:v>
                </c:pt>
                <c:pt idx="380">
                  <c:v>-26.342669965159601</c:v>
                </c:pt>
                <c:pt idx="381">
                  <c:v>-26.591249906543428</c:v>
                </c:pt>
                <c:pt idx="382">
                  <c:v>-26.837459403333956</c:v>
                </c:pt>
                <c:pt idx="383">
                  <c:v>-27.081287719494291</c:v>
                </c:pt>
                <c:pt idx="384">
                  <c:v>-27.322729415223499</c:v>
                </c:pt>
                <c:pt idx="385">
                  <c:v>-27.561784348737646</c:v>
                </c:pt>
                <c:pt idx="386">
                  <c:v>-27.798457656496044</c:v>
                </c:pt>
                <c:pt idx="387">
                  <c:v>-28.03275971163762</c:v>
                </c:pt>
                <c:pt idx="388">
                  <c:v>-28.264706060544821</c:v>
                </c:pt>
                <c:pt idx="389">
                  <c:v>-28.494317337601878</c:v>
                </c:pt>
                <c:pt idx="390">
                  <c:v>-28.721619158383209</c:v>
                </c:pt>
                <c:pt idx="391">
                  <c:v>-28.946641991661572</c:v>
                </c:pt>
                <c:pt idx="392">
                  <c:v>-29.169421010800175</c:v>
                </c:pt>
                <c:pt idx="393">
                  <c:v>-29.389995925251387</c:v>
                </c:pt>
                <c:pt idx="394">
                  <c:v>-29.608410793049021</c:v>
                </c:pt>
                <c:pt idx="395">
                  <c:v>-29.824713815340012</c:v>
                </c:pt>
                <c:pt idx="396">
                  <c:v>-30.038957114149646</c:v>
                </c:pt>
                <c:pt idx="397">
                  <c:v>-30.251196494720645</c:v>
                </c:pt>
                <c:pt idx="398">
                  <c:v>-30.461491193893977</c:v>
                </c:pt>
                <c:pt idx="399">
                  <c:v>-30.6699036161233</c:v>
                </c:pt>
                <c:pt idx="400">
                  <c:v>-30.876499058816815</c:v>
                </c:pt>
                <c:pt idx="401">
                  <c:v>-31.081345428791494</c:v>
                </c:pt>
                <c:pt idx="402">
                  <c:v>-31.284512951696804</c:v>
                </c:pt>
                <c:pt idx="403">
                  <c:v>-31.486073876320361</c:v>
                </c:pt>
                <c:pt idx="404">
                  <c:v>-31.686102175719675</c:v>
                </c:pt>
                <c:pt idx="405">
                  <c:v>-31.884673247143983</c:v>
                </c:pt>
                <c:pt idx="406">
                  <c:v>-32.081863612700865</c:v>
                </c:pt>
                <c:pt idx="407">
                  <c:v>-32.27775062269987</c:v>
                </c:pt>
                <c:pt idx="408">
                  <c:v>-32.472412163557934</c:v>
                </c:pt>
                <c:pt idx="409">
                  <c:v>-32.665926372089999</c:v>
                </c:pt>
                <c:pt idx="410">
                  <c:v>-32.858371357919779</c:v>
                </c:pt>
                <c:pt idx="411">
                  <c:v>-33.04982493565123</c:v>
                </c:pt>
                <c:pt idx="412">
                  <c:v>-33.240364368320108</c:v>
                </c:pt>
                <c:pt idx="413">
                  <c:v>-33.43006612351796</c:v>
                </c:pt>
                <c:pt idx="414">
                  <c:v>-33.619005643434356</c:v>
                </c:pt>
                <c:pt idx="415">
                  <c:v>-33.807257129914987</c:v>
                </c:pt>
                <c:pt idx="416">
                  <c:v>-33.994893345470203</c:v>
                </c:pt>
                <c:pt idx="417">
                  <c:v>-34.18198543099934</c:v>
                </c:pt>
                <c:pt idx="418">
                  <c:v>-34.368602740834348</c:v>
                </c:pt>
                <c:pt idx="419">
                  <c:v>-34.554812695529172</c:v>
                </c:pt>
                <c:pt idx="420">
                  <c:v>-34.740680652655158</c:v>
                </c:pt>
                <c:pt idx="421">
                  <c:v>-34.926269795700591</c:v>
                </c:pt>
                <c:pt idx="422">
                  <c:v>-35.111641041008724</c:v>
                </c:pt>
                <c:pt idx="423">
                  <c:v>-35.296852962542843</c:v>
                </c:pt>
                <c:pt idx="424">
                  <c:v>-35.481961734120787</c:v>
                </c:pt>
                <c:pt idx="425">
                  <c:v>-35.667021088635572</c:v>
                </c:pt>
                <c:pt idx="426">
                  <c:v>-35.852082293655457</c:v>
                </c:pt>
                <c:pt idx="427">
                  <c:v>-36.03719414269662</c:v>
                </c:pt>
                <c:pt idx="428">
                  <c:v>-36.222402961368083</c:v>
                </c:pt>
                <c:pt idx="429">
                  <c:v>-36.40775262751022</c:v>
                </c:pt>
                <c:pt idx="430">
                  <c:v>-36.593284604390668</c:v>
                </c:pt>
                <c:pt idx="431">
                  <c:v>-36.779037985967307</c:v>
                </c:pt>
                <c:pt idx="432">
                  <c:v>-36.965049553199194</c:v>
                </c:pt>
                <c:pt idx="433">
                  <c:v>-37.151353840362773</c:v>
                </c:pt>
                <c:pt idx="434">
                  <c:v>-37.337983210323799</c:v>
                </c:pt>
                <c:pt idx="435">
                  <c:v>-37.524967937719779</c:v>
                </c:pt>
                <c:pt idx="436">
                  <c:v>-37.712336299021644</c:v>
                </c:pt>
                <c:pt idx="437">
                  <c:v>-37.900114668469826</c:v>
                </c:pt>
                <c:pt idx="438">
                  <c:v>-38.088327618910419</c:v>
                </c:pt>
                <c:pt idx="439">
                  <c:v>-38.27699802660058</c:v>
                </c:pt>
                <c:pt idx="440">
                  <c:v>-38.466147179097284</c:v>
                </c:pt>
                <c:pt idx="441">
                  <c:v>-38.655794885395586</c:v>
                </c:pt>
                <c:pt idx="442">
                  <c:v>-38.845959587537784</c:v>
                </c:pt>
                <c:pt idx="443">
                  <c:v>-39.036658472974118</c:v>
                </c:pt>
                <c:pt idx="444">
                  <c:v>-39.227907587013064</c:v>
                </c:pt>
                <c:pt idx="445">
                  <c:v>-39.419721944762379</c:v>
                </c:pt>
                <c:pt idx="446">
                  <c:v>-39.612115642019972</c:v>
                </c:pt>
                <c:pt idx="447">
                  <c:v>-39.805101964632719</c:v>
                </c:pt>
                <c:pt idx="448">
                  <c:v>-39.99869349590093</c:v>
                </c:pt>
                <c:pt idx="449">
                  <c:v>-40.192902221657789</c:v>
                </c:pt>
                <c:pt idx="450">
                  <c:v>-40.387739632708048</c:v>
                </c:pt>
                <c:pt idx="451">
                  <c:v>-40.583216824357791</c:v>
                </c:pt>
                <c:pt idx="452">
                  <c:v>-40.779344592812528</c:v>
                </c:pt>
                <c:pt idx="453">
                  <c:v>-40.97613352826383</c:v>
                </c:pt>
                <c:pt idx="454">
                  <c:v>-41.173594104519964</c:v>
                </c:pt>
                <c:pt idx="455">
                  <c:v>-41.37173676507409</c:v>
                </c:pt>
                <c:pt idx="456">
                  <c:v>-41.570572005527886</c:v>
                </c:pt>
                <c:pt idx="457">
                  <c:v>-41.770110452319486</c:v>
                </c:pt>
                <c:pt idx="458">
                  <c:v>-41.970362937724381</c:v>
                </c:pt>
                <c:pt idx="459">
                  <c:v>-42.171340571115323</c:v>
                </c:pt>
                <c:pt idx="460">
                  <c:v>-42.373054806483964</c:v>
                </c:pt>
                <c:pt idx="461">
                  <c:v>-42.575517506238221</c:v>
                </c:pt>
                <c:pt idx="462">
                  <c:v>-42.778741001295131</c:v>
                </c:pt>
                <c:pt idx="463">
                  <c:v>-42.982738147496995</c:v>
                </c:pt>
                <c:pt idx="464">
                  <c:v>-43.187522378379725</c:v>
                </c:pt>
                <c:pt idx="465">
                  <c:v>-43.393107754321278</c:v>
                </c:pt>
                <c:pt idx="466">
                  <c:v>-43.599509008098053</c:v>
                </c:pt>
                <c:pt idx="467">
                  <c:v>-43.806741586869904</c:v>
                </c:pt>
                <c:pt idx="468">
                  <c:v>-44.014821690611001</c:v>
                </c:pt>
                <c:pt idx="469">
                  <c:v>-44.223766306993852</c:v>
                </c:pt>
                <c:pt idx="470">
                  <c:v>-44.433593242725458</c:v>
                </c:pt>
                <c:pt idx="471">
                  <c:v>-44.644321151326253</c:v>
                </c:pt>
                <c:pt idx="472">
                  <c:v>-44.855969557329331</c:v>
                </c:pt>
                <c:pt idx="473">
                  <c:v>-45.068558876866334</c:v>
                </c:pt>
                <c:pt idx="474">
                  <c:v>-45.282110434598231</c:v>
                </c:pt>
                <c:pt idx="475">
                  <c:v>-45.496646476932206</c:v>
                </c:pt>
                <c:pt idx="476">
                  <c:v>-45.712190181460258</c:v>
                </c:pt>
                <c:pt idx="477">
                  <c:v>-45.928765662538858</c:v>
                </c:pt>
                <c:pt idx="478">
                  <c:v>-46.146397972924049</c:v>
                </c:pt>
                <c:pt idx="479">
                  <c:v>-46.365113101362788</c:v>
                </c:pt>
                <c:pt idx="480">
                  <c:v>-46.584937966037067</c:v>
                </c:pt>
                <c:pt idx="481">
                  <c:v>-46.805900403748595</c:v>
                </c:pt>
                <c:pt idx="482">
                  <c:v>-47.028029154727527</c:v>
                </c:pt>
                <c:pt idx="483">
                  <c:v>-47.251353842949271</c:v>
                </c:pt>
                <c:pt idx="484">
                  <c:v>-47.47590495183718</c:v>
                </c:pt>
                <c:pt idx="485">
                  <c:v>-47.701713795237652</c:v>
                </c:pt>
                <c:pt idx="486">
                  <c:v>-47.928812483554857</c:v>
                </c:pt>
                <c:pt idx="487">
                  <c:v>-48.157233884940773</c:v>
                </c:pt>
                <c:pt idx="488">
                  <c:v>-48.387011581450317</c:v>
                </c:pt>
                <c:pt idx="489">
                  <c:v>-48.618179820080897</c:v>
                </c:pt>
                <c:pt idx="490">
                  <c:v>-48.850773458638614</c:v>
                </c:pt>
                <c:pt idx="491">
                  <c:v>-49.084827906390707</c:v>
                </c:pt>
                <c:pt idx="492">
                  <c:v>-49.320379059492367</c:v>
                </c:pt>
                <c:pt idx="493">
                  <c:v>-49.55746323120016</c:v>
                </c:pt>
                <c:pt idx="494">
                  <c:v>-49.79611707692429</c:v>
                </c:pt>
                <c:pt idx="495">
                  <c:v>-50.036377514197845</c:v>
                </c:pt>
                <c:pt idx="496">
                  <c:v>-50.278281637688877</c:v>
                </c:pt>
                <c:pt idx="497">
                  <c:v>-50.521866629420636</c:v>
                </c:pt>
                <c:pt idx="498">
                  <c:v>-50.767169664405344</c:v>
                </c:pt>
                <c:pt idx="499">
                  <c:v>-51.014227811954704</c:v>
                </c:pt>
                <c:pt idx="500">
                  <c:v>-51.263077932968024</c:v>
                </c:pt>
                <c:pt idx="501">
                  <c:v>-51.513756573558197</c:v>
                </c:pt>
                <c:pt idx="502">
                  <c:v>-51.766299855422133</c:v>
                </c:pt>
                <c:pt idx="503">
                  <c:v>-52.020743363415136</c:v>
                </c:pt>
                <c:pt idx="504">
                  <c:v>-52.277122030837631</c:v>
                </c:pt>
                <c:pt idx="505">
                  <c:v>-52.535470022993763</c:v>
                </c:pt>
                <c:pt idx="506">
                  <c:v>-52.795820619624251</c:v>
                </c:pt>
                <c:pt idx="507">
                  <c:v>-53.058206096860452</c:v>
                </c:pt>
                <c:pt idx="508">
                  <c:v>-53.322657609385146</c:v>
                </c:pt>
                <c:pt idx="509">
                  <c:v>-53.58920507351543</c:v>
                </c:pt>
                <c:pt idx="510">
                  <c:v>-53.857877051953373</c:v>
                </c:pt>
                <c:pt idx="511">
                  <c:v>-54.128700640968965</c:v>
                </c:pt>
                <c:pt idx="512">
                  <c:v>-54.401701360789446</c:v>
                </c:pt>
                <c:pt idx="513">
                  <c:v>-54.676903049975252</c:v>
                </c:pt>
                <c:pt idx="514">
                  <c:v>-54.954327764558414</c:v>
                </c:pt>
                <c:pt idx="515">
                  <c:v>-55.233995682699913</c:v>
                </c:pt>
                <c:pt idx="516">
                  <c:v>-55.515925015605916</c:v>
                </c:pt>
                <c:pt idx="517">
                  <c:v>-55.800131925400855</c:v>
                </c:pt>
                <c:pt idx="518">
                  <c:v>-56.086630450619651</c:v>
                </c:pt>
                <c:pt idx="519">
                  <c:v>-56.375432439925405</c:v>
                </c:pt>
                <c:pt idx="520">
                  <c:v>-56.666547494598085</c:v>
                </c:pt>
                <c:pt idx="521">
                  <c:v>-56.959982920274243</c:v>
                </c:pt>
                <c:pt idx="522">
                  <c:v>-57.255743688337773</c:v>
                </c:pt>
                <c:pt idx="523">
                  <c:v>-57.553832407284688</c:v>
                </c:pt>
                <c:pt idx="524">
                  <c:v>-57.854249304295905</c:v>
                </c:pt>
                <c:pt idx="525">
                  <c:v>-58.156992217162077</c:v>
                </c:pt>
                <c:pt idx="526">
                  <c:v>-58.462056596613408</c:v>
                </c:pt>
                <c:pt idx="527">
                  <c:v>-58.769435519013413</c:v>
                </c:pt>
                <c:pt idx="528">
                  <c:v>-59.079119709284484</c:v>
                </c:pt>
                <c:pt idx="529">
                  <c:v>-59.39109757384152</c:v>
                </c:pt>
                <c:pt idx="530">
                  <c:v>-59.705355243223494</c:v>
                </c:pt>
                <c:pt idx="531">
                  <c:v>-60.021876624030568</c:v>
                </c:pt>
                <c:pt idx="532">
                  <c:v>-60.340643459698377</c:v>
                </c:pt>
                <c:pt idx="533">
                  <c:v>-60.661635399570748</c:v>
                </c:pt>
                <c:pt idx="534">
                  <c:v>-60.984830075672463</c:v>
                </c:pt>
                <c:pt idx="535">
                  <c:v>-61.310203186526913</c:v>
                </c:pt>
                <c:pt idx="536">
                  <c:v>-61.637728587323295</c:v>
                </c:pt>
                <c:pt idx="537">
                  <c:v>-61.967378385703363</c:v>
                </c:pt>
                <c:pt idx="538">
                  <c:v>-62.299123042406954</c:v>
                </c:pt>
                <c:pt idx="539">
                  <c:v>-62.632931476009325</c:v>
                </c:pt>
                <c:pt idx="540">
                  <c:v>-62.968771170968971</c:v>
                </c:pt>
                <c:pt idx="541">
                  <c:v>-63.306608288212587</c:v>
                </c:pt>
              </c:numCache>
            </c:numRef>
          </c:yVal>
          <c:smooth val="1"/>
          <c:extLst>
            <c:ext xmlns:c16="http://schemas.microsoft.com/office/drawing/2014/chart" uri="{C3380CC4-5D6E-409C-BE32-E72D297353CC}">
              <c16:uniqueId val="{00000000-60FA-41CA-AA9C-7A171A922A6D}"/>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89.132598616125094</c:v>
                </c:pt>
                <c:pt idx="1">
                  <c:v>89.112406701119227</c:v>
                </c:pt>
                <c:pt idx="2">
                  <c:v>89.091745346546247</c:v>
                </c:pt>
                <c:pt idx="3">
                  <c:v>89.070603681386345</c:v>
                </c:pt>
                <c:pt idx="4">
                  <c:v>89.048970585944858</c:v>
                </c:pt>
                <c:pt idx="5">
                  <c:v>89.026834686383893</c:v>
                </c:pt>
                <c:pt idx="6">
                  <c:v>89.004184349149853</c:v>
                </c:pt>
                <c:pt idx="7">
                  <c:v>88.981007675295643</c:v>
                </c:pt>
                <c:pt idx="8">
                  <c:v>88.957292494697199</c:v>
                </c:pt>
                <c:pt idx="9">
                  <c:v>88.933026360163581</c:v>
                </c:pt>
                <c:pt idx="10">
                  <c:v>88.908196541440418</c:v>
                </c:pt>
                <c:pt idx="11">
                  <c:v>88.882790019105769</c:v>
                </c:pt>
                <c:pt idx="12">
                  <c:v>88.856793478359037</c:v>
                </c:pt>
                <c:pt idx="13">
                  <c:v>88.830193302702128</c:v>
                </c:pt>
                <c:pt idx="14">
                  <c:v>88.802975567513542</c:v>
                </c:pt>
                <c:pt idx="15">
                  <c:v>88.775126033515335</c:v>
                </c:pt>
                <c:pt idx="16">
                  <c:v>88.746630140133718</c:v>
                </c:pt>
                <c:pt idx="17">
                  <c:v>88.717472998754019</c:v>
                </c:pt>
                <c:pt idx="18">
                  <c:v>88.687639385870796</c:v>
                </c:pt>
                <c:pt idx="19">
                  <c:v>88.657113736134619</c:v>
                </c:pt>
                <c:pt idx="20">
                  <c:v>88.625880135297024</c:v>
                </c:pt>
                <c:pt idx="21">
                  <c:v>88.59392231305516</c:v>
                </c:pt>
                <c:pt idx="22">
                  <c:v>88.561223635798996</c:v>
                </c:pt>
                <c:pt idx="23">
                  <c:v>88.527767099262846</c:v>
                </c:pt>
                <c:pt idx="24">
                  <c:v>88.493535321084877</c:v>
                </c:pt>
                <c:pt idx="25">
                  <c:v>88.458510533277419</c:v>
                </c:pt>
                <c:pt idx="26">
                  <c:v>88.422674574612486</c:v>
                </c:pt>
                <c:pt idx="27">
                  <c:v>88.386008882926305</c:v>
                </c:pt>
                <c:pt idx="28">
                  <c:v>88.348494487348077</c:v>
                </c:pt>
                <c:pt idx="29">
                  <c:v>88.310112000458346</c:v>
                </c:pt>
                <c:pt idx="30">
                  <c:v>88.270841610383059</c:v>
                </c:pt>
                <c:pt idx="31">
                  <c:v>88.230663072830154</c:v>
                </c:pt>
                <c:pt idx="32">
                  <c:v>88.189555703075953</c:v>
                </c:pt>
                <c:pt idx="33">
                  <c:v>88.147498367909904</c:v>
                </c:pt>
                <c:pt idx="34">
                  <c:v>88.104469477546544</c:v>
                </c:pt>
                <c:pt idx="35">
                  <c:v>88.060446977514886</c:v>
                </c:pt>
                <c:pt idx="36">
                  <c:v>88.015408340535899</c:v>
                </c:pt>
                <c:pt idx="37">
                  <c:v>87.969330558400401</c:v>
                </c:pt>
                <c:pt idx="38">
                  <c:v>87.922190133860397</c:v>
                </c:pt>
                <c:pt idx="39">
                  <c:v>87.873963072547923</c:v>
                </c:pt>
                <c:pt idx="40">
                  <c:v>87.824624874937072</c:v>
                </c:pt>
                <c:pt idx="41">
                  <c:v>87.774150528366476</c:v>
                </c:pt>
                <c:pt idx="42">
                  <c:v>87.722514499140019</c:v>
                </c:pt>
                <c:pt idx="43">
                  <c:v>87.669690724726308</c:v>
                </c:pt>
                <c:pt idx="44">
                  <c:v>87.615652606077859</c:v>
                </c:pt>
                <c:pt idx="45">
                  <c:v>87.560373000094131</c:v>
                </c:pt>
                <c:pt idx="46">
                  <c:v>87.503824212253178</c:v>
                </c:pt>
                <c:pt idx="47">
                  <c:v>87.4459779894392</c:v>
                </c:pt>
                <c:pt idx="48">
                  <c:v>87.386805512995878</c:v>
                </c:pt>
                <c:pt idx="49">
                  <c:v>87.326277392036644</c:v>
                </c:pt>
                <c:pt idx="50">
                  <c:v>87.264363657046914</c:v>
                </c:pt>
                <c:pt idx="51">
                  <c:v>87.201033753813988</c:v>
                </c:pt>
                <c:pt idx="52">
                  <c:v>87.136256537725558</c:v>
                </c:pt>
                <c:pt idx="53">
                  <c:v>87.070000268477941</c:v>
                </c:pt>
                <c:pt idx="54">
                  <c:v>87.002232605241034</c:v>
                </c:pt>
                <c:pt idx="55">
                  <c:v>86.932920602327769</c:v>
                </c:pt>
                <c:pt idx="56">
                  <c:v>86.862030705421631</c:v>
                </c:pt>
                <c:pt idx="57">
                  <c:v>86.789528748417709</c:v>
                </c:pt>
                <c:pt idx="58">
                  <c:v>86.715379950937887</c:v>
                </c:pt>
                <c:pt idx="59">
                  <c:v>86.639548916584289</c:v>
                </c:pt>
                <c:pt idx="60">
                  <c:v>86.56199963199991</c:v>
                </c:pt>
                <c:pt idx="61">
                  <c:v>86.482695466810171</c:v>
                </c:pt>
                <c:pt idx="62">
                  <c:v>86.401599174522943</c:v>
                </c:pt>
                <c:pt idx="63">
                  <c:v>86.318672894471405</c:v>
                </c:pt>
                <c:pt idx="64">
                  <c:v>86.233878154888657</c:v>
                </c:pt>
                <c:pt idx="65">
                  <c:v>86.147175877207999</c:v>
                </c:pt>
                <c:pt idx="66">
                  <c:v>86.058526381691152</c:v>
                </c:pt>
                <c:pt idx="67">
                  <c:v>85.967889394489646</c:v>
                </c:pt>
                <c:pt idx="68">
                  <c:v>85.875224056255021</c:v>
                </c:pt>
                <c:pt idx="69">
                  <c:v>85.780488932416688</c:v>
                </c:pt>
                <c:pt idx="70">
                  <c:v>85.683642025256319</c:v>
                </c:pt>
                <c:pt idx="71">
                  <c:v>85.584640787914196</c:v>
                </c:pt>
                <c:pt idx="72">
                  <c:v>85.483442140469222</c:v>
                </c:pt>
                <c:pt idx="73">
                  <c:v>85.380002488245893</c:v>
                </c:pt>
                <c:pt idx="74">
                  <c:v>85.27427774250603</c:v>
                </c:pt>
                <c:pt idx="75">
                  <c:v>85.166223343694639</c:v>
                </c:pt>
                <c:pt idx="76">
                  <c:v>85.055794287416191</c:v>
                </c:pt>
                <c:pt idx="77">
                  <c:v>84.942945153328466</c:v>
                </c:pt>
                <c:pt idx="78">
                  <c:v>84.827630137148901</c:v>
                </c:pt>
                <c:pt idx="79">
                  <c:v>84.709803085978507</c:v>
                </c:pt>
                <c:pt idx="80">
                  <c:v>84.589417537159505</c:v>
                </c:pt>
                <c:pt idx="81">
                  <c:v>84.466426760888808</c:v>
                </c:pt>
                <c:pt idx="82">
                  <c:v>84.340783806824035</c:v>
                </c:pt>
                <c:pt idx="83">
                  <c:v>84.212441554925121</c:v>
                </c:pt>
                <c:pt idx="84">
                  <c:v>84.081352770784918</c:v>
                </c:pt>
                <c:pt idx="85">
                  <c:v>83.947470165713611</c:v>
                </c:pt>
                <c:pt idx="86">
                  <c:v>83.810746461847032</c:v>
                </c:pt>
                <c:pt idx="87">
                  <c:v>83.671134462563799</c:v>
                </c:pt>
                <c:pt idx="88">
                  <c:v>83.528587128496667</c:v>
                </c:pt>
                <c:pt idx="89">
                  <c:v>83.383057659440965</c:v>
                </c:pt>
                <c:pt idx="90">
                  <c:v>83.234499582458866</c:v>
                </c:pt>
                <c:pt idx="91">
                  <c:v>83.082866846495889</c:v>
                </c:pt>
                <c:pt idx="92">
                  <c:v>82.928113923820177</c:v>
                </c:pt>
                <c:pt idx="93">
                  <c:v>82.77019591860666</c:v>
                </c:pt>
                <c:pt idx="94">
                  <c:v>82.609068682987143</c:v>
                </c:pt>
                <c:pt idx="95">
                  <c:v>82.444688940885925</c:v>
                </c:pt>
                <c:pt idx="96">
                  <c:v>82.277014419962782</c:v>
                </c:pt>
                <c:pt idx="97">
                  <c:v>82.106003991977161</c:v>
                </c:pt>
                <c:pt idx="98">
                  <c:v>81.93161782188298</c:v>
                </c:pt>
                <c:pt idx="99">
                  <c:v>81.753817525953323</c:v>
                </c:pt>
                <c:pt idx="100">
                  <c:v>81.572566339220558</c:v>
                </c:pt>
                <c:pt idx="101">
                  <c:v>81.387829292499973</c:v>
                </c:pt>
                <c:pt idx="102">
                  <c:v>81.199573399247484</c:v>
                </c:pt>
                <c:pt idx="103">
                  <c:v>81.00776785247173</c:v>
                </c:pt>
                <c:pt idx="104">
                  <c:v>80.812384231895038</c:v>
                </c:pt>
                <c:pt idx="105">
                  <c:v>80.613396721518782</c:v>
                </c:pt>
                <c:pt idx="106">
                  <c:v>80.410782337710103</c:v>
                </c:pt>
                <c:pt idx="107">
                  <c:v>80.204521167875924</c:v>
                </c:pt>
                <c:pt idx="108">
                  <c:v>79.994596619740491</c:v>
                </c:pt>
                <c:pt idx="109">
                  <c:v>79.780995681175654</c:v>
                </c:pt>
                <c:pt idx="110">
                  <c:v>79.563709190470092</c:v>
                </c:pt>
                <c:pt idx="111">
                  <c:v>79.342732116841177</c:v>
                </c:pt>
                <c:pt idx="112">
                  <c:v>79.118063850912932</c:v>
                </c:pt>
                <c:pt idx="113">
                  <c:v>78.889708504787251</c:v>
                </c:pt>
                <c:pt idx="114">
                  <c:v>78.657675221233859</c:v>
                </c:pt>
                <c:pt idx="115">
                  <c:v>78.421978491413171</c:v>
                </c:pt>
                <c:pt idx="116">
                  <c:v>78.182638480427741</c:v>
                </c:pt>
                <c:pt idx="117">
                  <c:v>77.93968135986502</c:v>
                </c:pt>
                <c:pt idx="118">
                  <c:v>77.693139646362198</c:v>
                </c:pt>
                <c:pt idx="119">
                  <c:v>77.443052545070643</c:v>
                </c:pt>
                <c:pt idx="120">
                  <c:v>77.189466296751974</c:v>
                </c:pt>
                <c:pt idx="121">
                  <c:v>76.932434527067571</c:v>
                </c:pt>
                <c:pt idx="122">
                  <c:v>76.672018596463474</c:v>
                </c:pt>
                <c:pt idx="123">
                  <c:v>76.408287948875966</c:v>
                </c:pt>
                <c:pt idx="124">
                  <c:v>76.141320457306819</c:v>
                </c:pt>
                <c:pt idx="125">
                  <c:v>75.871202764139639</c:v>
                </c:pt>
                <c:pt idx="126">
                  <c:v>75.598030613888568</c:v>
                </c:pt>
                <c:pt idx="127">
                  <c:v>75.321909175894305</c:v>
                </c:pt>
                <c:pt idx="128">
                  <c:v>75.042953354305368</c:v>
                </c:pt>
                <c:pt idx="129">
                  <c:v>74.761288082518362</c:v>
                </c:pt>
                <c:pt idx="130">
                  <c:v>74.477048599095241</c:v>
                </c:pt>
                <c:pt idx="131">
                  <c:v>74.190380702022765</c:v>
                </c:pt>
                <c:pt idx="132">
                  <c:v>73.901440978059384</c:v>
                </c:pt>
                <c:pt idx="133">
                  <c:v>73.610397003795555</c:v>
                </c:pt>
                <c:pt idx="134">
                  <c:v>73.317427514975364</c:v>
                </c:pt>
                <c:pt idx="135">
                  <c:v>73.022722540554739</c:v>
                </c:pt>
                <c:pt idx="136">
                  <c:v>72.726483497950596</c:v>
                </c:pt>
                <c:pt idx="137">
                  <c:v>72.428923245929724</c:v>
                </c:pt>
                <c:pt idx="138">
                  <c:v>72.130266091629835</c:v>
                </c:pt>
                <c:pt idx="139">
                  <c:v>71.830747748277275</c:v>
                </c:pt>
                <c:pt idx="140">
                  <c:v>71.530615240293159</c:v>
                </c:pt>
                <c:pt idx="141">
                  <c:v>71.23012675264394</c:v>
                </c:pt>
                <c:pt idx="142">
                  <c:v>70.929551421495361</c:v>
                </c:pt>
                <c:pt idx="143">
                  <c:v>70.629169063505827</c:v>
                </c:pt>
                <c:pt idx="144">
                  <c:v>70.329269841388296</c:v>
                </c:pt>
                <c:pt idx="145">
                  <c:v>70.030153863731968</c:v>
                </c:pt>
                <c:pt idx="146">
                  <c:v>69.73213071747962</c:v>
                </c:pt>
                <c:pt idx="147">
                  <c:v>69.435518931902422</c:v>
                </c:pt>
                <c:pt idx="148">
                  <c:v>69.140645373402435</c:v>
                </c:pt>
                <c:pt idx="149">
                  <c:v>68.847844571004089</c:v>
                </c:pt>
                <c:pt idx="150">
                  <c:v>68.55745797295576</c:v>
                </c:pt>
                <c:pt idx="151">
                  <c:v>68.269833135450952</c:v>
                </c:pt>
                <c:pt idx="152">
                  <c:v>67.985322845087538</c:v>
                </c:pt>
                <c:pt idx="153">
                  <c:v>67.704284177311877</c:v>
                </c:pt>
                <c:pt idx="154">
                  <c:v>67.427077493721853</c:v>
                </c:pt>
                <c:pt idx="155">
                  <c:v>67.154065381730447</c:v>
                </c:pt>
                <c:pt idx="156">
                  <c:v>66.885611540715203</c:v>
                </c:pt>
                <c:pt idx="157">
                  <c:v>66.622079619375853</c:v>
                </c:pt>
                <c:pt idx="158">
                  <c:v>66.363832009595271</c:v>
                </c:pt>
                <c:pt idx="159">
                  <c:v>66.11122860263508</c:v>
                </c:pt>
                <c:pt idx="160">
                  <c:v>65.864625514001133</c:v>
                </c:pt>
                <c:pt idx="161">
                  <c:v>65.624373783742499</c:v>
                </c:pt>
                <c:pt idx="162">
                  <c:v>65.39081805934967</c:v>
                </c:pt>
                <c:pt idx="163">
                  <c:v>65.164295268736311</c:v>
                </c:pt>
                <c:pt idx="164">
                  <c:v>64.945133291049785</c:v>
                </c:pt>
                <c:pt idx="165">
                  <c:v>64.733649633238358</c:v>
                </c:pt>
                <c:pt idx="166">
                  <c:v>64.530150120432097</c:v>
                </c:pt>
                <c:pt idx="167">
                  <c:v>64.334927608221832</c:v>
                </c:pt>
                <c:pt idx="168">
                  <c:v>64.148260724899018</c:v>
                </c:pt>
                <c:pt idx="169">
                  <c:v>63.970412651611376</c:v>
                </c:pt>
                <c:pt idx="170">
                  <c:v>63.801629948218959</c:v>
                </c:pt>
                <c:pt idx="171">
                  <c:v>63.642141432380456</c:v>
                </c:pt>
                <c:pt idx="172">
                  <c:v>63.492157119109748</c:v>
                </c:pt>
                <c:pt idx="173">
                  <c:v>63.351867227657777</c:v>
                </c:pt>
                <c:pt idx="174">
                  <c:v>63.221441262164305</c:v>
                </c:pt>
                <c:pt idx="175">
                  <c:v>63.101027172045448</c:v>
                </c:pt>
                <c:pt idx="176">
                  <c:v>62.990750597558254</c:v>
                </c:pt>
                <c:pt idx="177">
                  <c:v>62.890714205436879</c:v>
                </c:pt>
                <c:pt idx="178">
                  <c:v>62.800997118887771</c:v>
                </c:pt>
                <c:pt idx="179">
                  <c:v>62.721654445616657</c:v>
                </c:pt>
                <c:pt idx="180">
                  <c:v>62.652716906905901</c:v>
                </c:pt>
                <c:pt idx="181">
                  <c:v>62.594190570095307</c:v>
                </c:pt>
                <c:pt idx="182">
                  <c:v>62.546056686136268</c:v>
                </c:pt>
                <c:pt idx="183">
                  <c:v>62.508271633194596</c:v>
                </c:pt>
                <c:pt idx="184">
                  <c:v>62.480766966577661</c:v>
                </c:pt>
                <c:pt idx="185">
                  <c:v>62.463449574557565</c:v>
                </c:pt>
                <c:pt idx="186">
                  <c:v>62.456201938976392</c:v>
                </c:pt>
                <c:pt idx="187">
                  <c:v>62.458882498799959</c:v>
                </c:pt>
                <c:pt idx="188">
                  <c:v>62.471326114141021</c:v>
                </c:pt>
                <c:pt idx="189">
                  <c:v>62.493344627579795</c:v>
                </c:pt>
                <c:pt idx="190">
                  <c:v>62.524727518982374</c:v>
                </c:pt>
                <c:pt idx="191">
                  <c:v>62.565242649392239</c:v>
                </c:pt>
                <c:pt idx="192">
                  <c:v>62.614637088986498</c:v>
                </c:pt>
                <c:pt idx="193">
                  <c:v>62.67263802353559</c:v>
                </c:pt>
                <c:pt idx="194">
                  <c:v>62.73895373329659</c:v>
                </c:pt>
                <c:pt idx="195">
                  <c:v>62.813274637804845</c:v>
                </c:pt>
                <c:pt idx="196">
                  <c:v>62.895274399616945</c:v>
                </c:pt>
                <c:pt idx="197">
                  <c:v>62.984611079708927</c:v>
                </c:pt>
                <c:pt idx="198">
                  <c:v>63.080928336929148</c:v>
                </c:pt>
                <c:pt idx="199">
                  <c:v>63.183856663685624</c:v>
                </c:pt>
                <c:pt idx="200">
                  <c:v>63.293014649885741</c:v>
                </c:pt>
                <c:pt idx="201">
                  <c:v>63.408010267053285</c:v>
                </c:pt>
                <c:pt idx="202">
                  <c:v>63.528442164539065</c:v>
                </c:pt>
                <c:pt idx="203">
                  <c:v>63.653900969794392</c:v>
                </c:pt>
                <c:pt idx="204">
                  <c:v>63.78397058481449</c:v>
                </c:pt>
                <c:pt idx="205">
                  <c:v>63.918229471053188</c:v>
                </c:pt>
                <c:pt idx="206">
                  <c:v>64.05625191539977</c:v>
                </c:pt>
                <c:pt idx="207">
                  <c:v>64.197609270131508</c:v>
                </c:pt>
                <c:pt idx="208">
                  <c:v>64.341871160171465</c:v>
                </c:pt>
                <c:pt idx="209">
                  <c:v>64.488606651426309</c:v>
                </c:pt>
                <c:pt idx="210">
                  <c:v>64.637385374493533</c:v>
                </c:pt>
                <c:pt idx="211">
                  <c:v>64.78777859856811</c:v>
                </c:pt>
                <c:pt idx="212">
                  <c:v>64.939360250962437</c:v>
                </c:pt>
                <c:pt idx="213">
                  <c:v>65.091707878263691</c:v>
                </c:pt>
                <c:pt idx="214">
                  <c:v>65.24440354576852</c:v>
                </c:pt>
                <c:pt idx="215">
                  <c:v>65.397034672473708</c:v>
                </c:pt>
                <c:pt idx="216">
                  <c:v>65.549194799532017</c:v>
                </c:pt>
                <c:pt idx="217">
                  <c:v>65.700484290705262</c:v>
                </c:pt>
                <c:pt idx="218">
                  <c:v>65.850510963959422</c:v>
                </c:pt>
                <c:pt idx="219">
                  <c:v>65.998890653927745</c:v>
                </c:pt>
                <c:pt idx="220">
                  <c:v>66.145247705532114</c:v>
                </c:pt>
                <c:pt idx="221">
                  <c:v>66.289215399571162</c:v>
                </c:pt>
                <c:pt idx="222">
                  <c:v>66.430436311570631</c:v>
                </c:pt>
                <c:pt idx="223">
                  <c:v>66.568562605638107</c:v>
                </c:pt>
                <c:pt idx="224">
                  <c:v>66.70325626545241</c:v>
                </c:pt>
                <c:pt idx="225">
                  <c:v>66.834189264880479</c:v>
                </c:pt>
                <c:pt idx="226">
                  <c:v>66.961043681006672</c:v>
                </c:pt>
                <c:pt idx="227">
                  <c:v>67.083511752621632</c:v>
                </c:pt>
                <c:pt idx="228">
                  <c:v>67.201295887421054</c:v>
                </c:pt>
                <c:pt idx="229">
                  <c:v>67.314108621329581</c:v>
                </c:pt>
                <c:pt idx="230">
                  <c:v>67.421672533478315</c:v>
                </c:pt>
                <c:pt idx="231">
                  <c:v>67.523720120444821</c:v>
                </c:pt>
                <c:pt idx="232">
                  <c:v>67.619993633397243</c:v>
                </c:pt>
                <c:pt idx="233">
                  <c:v>67.710244881788185</c:v>
                </c:pt>
                <c:pt idx="234">
                  <c:v>67.79423500721218</c:v>
                </c:pt>
                <c:pt idx="235">
                  <c:v>67.87173423097984</c:v>
                </c:pt>
                <c:pt idx="236">
                  <c:v>67.942521578879209</c:v>
                </c:pt>
                <c:pt idx="237">
                  <c:v>68.006384586484629</c:v>
                </c:pt>
                <c:pt idx="238">
                  <c:v>68.063118988251588</c:v>
                </c:pt>
                <c:pt idx="239">
                  <c:v>68.112528393499403</c:v>
                </c:pt>
                <c:pt idx="240">
                  <c:v>68.154423952223098</c:v>
                </c:pt>
                <c:pt idx="241">
                  <c:v>68.188624013528681</c:v>
                </c:pt>
                <c:pt idx="242">
                  <c:v>68.214953779313049</c:v>
                </c:pt>
                <c:pt idx="243">
                  <c:v>68.233244955644167</c:v>
                </c:pt>
                <c:pt idx="244">
                  <c:v>68.243335404129922</c:v>
                </c:pt>
                <c:pt idx="245">
                  <c:v>68.245068795391035</c:v>
                </c:pt>
                <c:pt idx="246">
                  <c:v>68.238294266598601</c:v>
                </c:pt>
                <c:pt idx="247">
                  <c:v>68.222866084864179</c:v>
                </c:pt>
                <c:pt idx="248">
                  <c:v>68.198643318125932</c:v>
                </c:pt>
                <c:pt idx="249">
                  <c:v>68.165489515021591</c:v>
                </c:pt>
                <c:pt idx="250">
                  <c:v>68.123272395097743</c:v>
                </c:pt>
                <c:pt idx="251">
                  <c:v>68.071863550577561</c:v>
                </c:pt>
                <c:pt idx="252">
                  <c:v>68.011138160777847</c:v>
                </c:pt>
                <c:pt idx="253">
                  <c:v>67.940974720159005</c:v>
                </c:pt>
                <c:pt idx="254">
                  <c:v>67.861254780877559</c:v>
                </c:pt>
                <c:pt idx="255">
                  <c:v>67.771862710618478</c:v>
                </c:pt>
                <c:pt idx="256">
                  <c:v>67.672685466393474</c:v>
                </c:pt>
                <c:pt idx="257">
                  <c:v>67.563612384907842</c:v>
                </c:pt>
                <c:pt idx="258">
                  <c:v>67.444534990028799</c:v>
                </c:pt>
                <c:pt idx="259">
                  <c:v>67.315346817819687</c:v>
                </c:pt>
                <c:pt idx="260">
                  <c:v>67.175943259545477</c:v>
                </c:pt>
                <c:pt idx="261">
                  <c:v>67.026221423003804</c:v>
                </c:pt>
                <c:pt idx="262">
                  <c:v>66.86608001248193</c:v>
                </c:pt>
                <c:pt idx="263">
                  <c:v>66.695419227607474</c:v>
                </c:pt>
                <c:pt idx="264">
                  <c:v>66.514140681312028</c:v>
                </c:pt>
                <c:pt idx="265">
                  <c:v>66.322147337095601</c:v>
                </c:pt>
                <c:pt idx="266">
                  <c:v>66.119343465751115</c:v>
                </c:pt>
                <c:pt idx="267">
                  <c:v>65.905634621669122</c:v>
                </c:pt>
                <c:pt idx="268">
                  <c:v>65.680927638821174</c:v>
                </c:pt>
                <c:pt idx="269">
                  <c:v>65.445130646487314</c:v>
                </c:pt>
                <c:pt idx="270">
                  <c:v>65.198153104760976</c:v>
                </c:pt>
                <c:pt idx="271">
                  <c:v>64.939905859843236</c:v>
                </c:pt>
                <c:pt idx="272">
                  <c:v>64.670301219092309</c:v>
                </c:pt>
                <c:pt idx="273">
                  <c:v>64.389253045770232</c:v>
                </c:pt>
                <c:pt idx="274">
                  <c:v>64.096676873385064</c:v>
                </c:pt>
                <c:pt idx="275">
                  <c:v>63.792490039480747</c:v>
                </c:pt>
                <c:pt idx="276">
                  <c:v>63.47661183868626</c:v>
                </c:pt>
                <c:pt idx="277">
                  <c:v>63.148963694775517</c:v>
                </c:pt>
                <c:pt idx="278">
                  <c:v>62.809469351435922</c:v>
                </c:pt>
                <c:pt idx="279">
                  <c:v>62.458055081371214</c:v>
                </c:pt>
                <c:pt idx="280">
                  <c:v>62.09464991329741</c:v>
                </c:pt>
                <c:pt idx="281">
                  <c:v>61.719185876306653</c:v>
                </c:pt>
                <c:pt idx="282">
                  <c:v>61.331598260985196</c:v>
                </c:pt>
                <c:pt idx="283">
                  <c:v>60.931825896579056</c:v>
                </c:pt>
                <c:pt idx="284">
                  <c:v>60.519811443391831</c:v>
                </c:pt>
                <c:pt idx="285">
                  <c:v>60.09550169949037</c:v>
                </c:pt>
                <c:pt idx="286">
                  <c:v>59.658847920673459</c:v>
                </c:pt>
                <c:pt idx="287">
                  <c:v>59.209806152528756</c:v>
                </c:pt>
                <c:pt idx="288">
                  <c:v>58.748337573272259</c:v>
                </c:pt>
                <c:pt idx="289">
                  <c:v>58.274408845921023</c:v>
                </c:pt>
                <c:pt idx="290">
                  <c:v>57.787992478205233</c:v>
                </c:pt>
                <c:pt idx="291">
                  <c:v>57.289067188478747</c:v>
                </c:pt>
                <c:pt idx="292">
                  <c:v>56.777618275726745</c:v>
                </c:pt>
                <c:pt idx="293">
                  <c:v>56.253637991627322</c:v>
                </c:pt>
                <c:pt idx="294">
                  <c:v>55.717125912461604</c:v>
                </c:pt>
                <c:pt idx="295">
                  <c:v>55.168089308523889</c:v>
                </c:pt>
                <c:pt idx="296">
                  <c:v>54.606543508538728</c:v>
                </c:pt>
                <c:pt idx="297">
                  <c:v>54.032512256452144</c:v>
                </c:pt>
                <c:pt idx="298">
                  <c:v>53.446028057850519</c:v>
                </c:pt>
                <c:pt idx="299">
                  <c:v>52.847132513138007</c:v>
                </c:pt>
                <c:pt idx="300">
                  <c:v>52.235876634520231</c:v>
                </c:pt>
                <c:pt idx="301">
                  <c:v>51.61232114376655</c:v>
                </c:pt>
                <c:pt idx="302">
                  <c:v>50.97653674767087</c:v>
                </c:pt>
                <c:pt idx="303">
                  <c:v>50.328604388116709</c:v>
                </c:pt>
                <c:pt idx="304">
                  <c:v>49.668615463656984</c:v>
                </c:pt>
                <c:pt idx="305">
                  <c:v>48.996672019557707</c:v>
                </c:pt>
                <c:pt idx="306">
                  <c:v>48.312886903339709</c:v>
                </c:pt>
                <c:pt idx="307">
                  <c:v>47.61738388296245</c:v>
                </c:pt>
                <c:pt idx="308">
                  <c:v>46.910297724951974</c:v>
                </c:pt>
                <c:pt idx="309">
                  <c:v>46.191774229973689</c:v>
                </c:pt>
                <c:pt idx="310">
                  <c:v>45.46197022358831</c:v>
                </c:pt>
                <c:pt idx="311">
                  <c:v>44.721053500211667</c:v>
                </c:pt>
                <c:pt idx="312">
                  <c:v>43.969202718623237</c:v>
                </c:pt>
                <c:pt idx="313">
                  <c:v>43.206607247729337</c:v>
                </c:pt>
                <c:pt idx="314">
                  <c:v>42.433466961689049</c:v>
                </c:pt>
                <c:pt idx="315">
                  <c:v>41.649991983944837</c:v>
                </c:pt>
                <c:pt idx="316">
                  <c:v>40.856402380157228</c:v>
                </c:pt>
                <c:pt idx="317">
                  <c:v>40.052927800541568</c:v>
                </c:pt>
                <c:pt idx="318">
                  <c:v>39.23980707259895</c:v>
                </c:pt>
                <c:pt idx="319">
                  <c:v>38.41728774575656</c:v>
                </c:pt>
                <c:pt idx="320">
                  <c:v>37.585625589948542</c:v>
                </c:pt>
                <c:pt idx="321">
                  <c:v>36.745084050688185</c:v>
                </c:pt>
                <c:pt idx="322">
                  <c:v>35.895933663680509</c:v>
                </c:pt>
                <c:pt idx="323">
                  <c:v>35.038451432507095</c:v>
                </c:pt>
                <c:pt idx="324">
                  <c:v>34.172920173363472</c:v>
                </c:pt>
                <c:pt idx="325">
                  <c:v>33.299627831244727</c:v>
                </c:pt>
                <c:pt idx="326">
                  <c:v>32.418866772335932</c:v>
                </c:pt>
                <c:pt idx="327">
                  <c:v>31.530933057674503</c:v>
                </c:pt>
                <c:pt idx="328">
                  <c:v>30.63612570340457</c:v>
                </c:pt>
                <c:pt idx="329">
                  <c:v>29.734745933118472</c:v>
                </c:pt>
                <c:pt idx="330">
                  <c:v>28.827096427904106</c:v>
                </c:pt>
                <c:pt idx="331">
                  <c:v>27.913480579738298</c:v>
                </c:pt>
                <c:pt idx="332">
                  <c:v>26.994201753842145</c:v>
                </c:pt>
                <c:pt idx="333">
                  <c:v>26.069562565484002</c:v>
                </c:pt>
                <c:pt idx="334">
                  <c:v>25.139864176535834</c:v>
                </c:pt>
                <c:pt idx="335">
                  <c:v>24.20540561681182</c:v>
                </c:pt>
                <c:pt idx="336">
                  <c:v>23.26648313489617</c:v>
                </c:pt>
                <c:pt idx="337">
                  <c:v>22.323389582749275</c:v>
                </c:pt>
                <c:pt idx="338">
                  <c:v>21.376413837943211</c:v>
                </c:pt>
                <c:pt idx="339">
                  <c:v>20.425840266860941</c:v>
                </c:pt>
                <c:pt idx="340">
                  <c:v>19.47194823163635</c:v>
                </c:pt>
                <c:pt idx="341">
                  <c:v>18.515011643045568</c:v>
                </c:pt>
                <c:pt idx="342">
                  <c:v>17.555298560939228</c:v>
                </c:pt>
                <c:pt idx="343">
                  <c:v>16.59307084319688</c:v>
                </c:pt>
                <c:pt idx="344">
                  <c:v>15.62858384355023</c:v>
                </c:pt>
                <c:pt idx="345">
                  <c:v>14.662086158017436</c:v>
                </c:pt>
                <c:pt idx="346">
                  <c:v>13.693819419078849</c:v>
                </c:pt>
                <c:pt idx="347">
                  <c:v>12.724018136167984</c:v>
                </c:pt>
                <c:pt idx="348">
                  <c:v>11.75290958048579</c:v>
                </c:pt>
                <c:pt idx="349">
                  <c:v>10.780713711678322</c:v>
                </c:pt>
                <c:pt idx="350">
                  <c:v>9.807643143454241</c:v>
                </c:pt>
                <c:pt idx="351">
                  <c:v>8.8339031448342666</c:v>
                </c:pt>
                <c:pt idx="352">
                  <c:v>7.8596916734031108</c:v>
                </c:pt>
                <c:pt idx="353">
                  <c:v>6.8851994366680644</c:v>
                </c:pt>
                <c:pt idx="354">
                  <c:v>5.910609977444417</c:v>
                </c:pt>
                <c:pt idx="355">
                  <c:v>4.9360997790833183</c:v>
                </c:pt>
                <c:pt idx="356">
                  <c:v>3.9618383862959945</c:v>
                </c:pt>
                <c:pt idx="357">
                  <c:v>2.9879885373894761</c:v>
                </c:pt>
                <c:pt idx="358">
                  <c:v>2.0147063038261961</c:v>
                </c:pt>
                <c:pt idx="359">
                  <c:v>1.0421412332053321</c:v>
                </c:pt>
                <c:pt idx="360">
                  <c:v>7.0436492026595882E-2</c:v>
                </c:pt>
                <c:pt idx="361">
                  <c:v>-0.90027099509341846</c:v>
                </c:pt>
                <c:pt idx="362">
                  <c:v>-1.8698504126937905</c:v>
                </c:pt>
                <c:pt idx="363">
                  <c:v>-2.8381769307359179</c:v>
                </c:pt>
                <c:pt idx="364">
                  <c:v>-3.8051315918897219</c:v>
                </c:pt>
                <c:pt idx="365">
                  <c:v>-4.770601211337393</c:v>
                </c:pt>
                <c:pt idx="366">
                  <c:v>-5.7344782900469617</c:v>
                </c:pt>
                <c:pt idx="367">
                  <c:v>-6.6966609418824348</c:v>
                </c:pt>
                <c:pt idx="368">
                  <c:v>-7.6570528343536113</c:v>
                </c:pt>
                <c:pt idx="369">
                  <c:v>-8.6155631422059304</c:v>
                </c:pt>
                <c:pt idx="370">
                  <c:v>-9.5721065125079612</c:v>
                </c:pt>
                <c:pt idx="371">
                  <c:v>-10.52660303933161</c:v>
                </c:pt>
                <c:pt idx="372">
                  <c:v>-11.478978245637997</c:v>
                </c:pt>
                <c:pt idx="373">
                  <c:v>-12.429163069505538</c:v>
                </c:pt>
                <c:pt idx="374">
                  <c:v>-13.377093851472697</c:v>
                </c:pt>
                <c:pt idx="375">
                  <c:v>-14.322712319415288</c:v>
                </c:pt>
                <c:pt idx="376">
                  <c:v>-15.265965567166925</c:v>
                </c:pt>
                <c:pt idx="377">
                  <c:v>-16.206806022920585</c:v>
                </c:pt>
                <c:pt idx="378">
                  <c:v>-17.145191403404091</c:v>
                </c:pt>
                <c:pt idx="379">
                  <c:v>-18.081084649859672</c:v>
                </c:pt>
                <c:pt idx="380">
                  <c:v>-19.014453842016394</c:v>
                </c:pt>
                <c:pt idx="381">
                  <c:v>-19.945272086478976</c:v>
                </c:pt>
                <c:pt idx="382">
                  <c:v>-20.873517376328717</c:v>
                </c:pt>
                <c:pt idx="383">
                  <c:v>-21.799172419163579</c:v>
                </c:pt>
                <c:pt idx="384">
                  <c:v>-22.722224431351897</c:v>
                </c:pt>
                <c:pt idx="385">
                  <c:v>-23.642664896895351</c:v>
                </c:pt>
                <c:pt idx="386">
                  <c:v>-24.560489289977639</c:v>
                </c:pt>
                <c:pt idx="387">
                  <c:v>-25.475696761026398</c:v>
                </c:pt>
                <c:pt idx="388">
                  <c:v>-26.38828978689267</c:v>
                </c:pt>
                <c:pt idx="389">
                  <c:v>-27.29827378656594</c:v>
                </c:pt>
                <c:pt idx="390">
                  <c:v>-28.205656704647343</c:v>
                </c:pt>
                <c:pt idx="391">
                  <c:v>-29.11044856560034</c:v>
                </c:pt>
                <c:pt idx="392">
                  <c:v>-30.012661002579581</c:v>
                </c:pt>
                <c:pt idx="393">
                  <c:v>-30.912306765333433</c:v>
                </c:pt>
                <c:pt idx="394">
                  <c:v>-31.809399212341244</c:v>
                </c:pt>
                <c:pt idx="395">
                  <c:v>-32.703951792902622</c:v>
                </c:pt>
                <c:pt idx="396">
                  <c:v>-33.59597752537158</c:v>
                </c:pt>
                <c:pt idx="397">
                  <c:v>-34.485488478075624</c:v>
                </c:pt>
                <c:pt idx="398">
                  <c:v>-35.372495259710568</c:v>
                </c:pt>
                <c:pt idx="399">
                  <c:v>-36.257006526107091</c:v>
                </c:pt>
                <c:pt idx="400">
                  <c:v>-37.139028510246959</c:v>
                </c:pt>
                <c:pt idx="401">
                  <c:v>-38.01856458226171</c:v>
                </c:pt>
                <c:pt idx="402">
                  <c:v>-38.895614845872267</c:v>
                </c:pt>
                <c:pt idx="403">
                  <c:v>-39.770175777312751</c:v>
                </c:pt>
                <c:pt idx="404">
                  <c:v>-40.64223991228554</c:v>
                </c:pt>
                <c:pt idx="405">
                  <c:v>-41.511795585858742</c:v>
                </c:pt>
                <c:pt idx="406">
                  <c:v>-42.378826729511779</c:v>
                </c:pt>
                <c:pt idx="407">
                  <c:v>-43.24331272874268</c:v>
                </c:pt>
                <c:pt idx="408">
                  <c:v>-44.10522834380167</c:v>
                </c:pt>
                <c:pt idx="409">
                  <c:v>-44.964543695228905</c:v>
                </c:pt>
                <c:pt idx="410">
                  <c:v>-45.821224314944018</c:v>
                </c:pt>
                <c:pt idx="411">
                  <c:v>-46.675231262738457</c:v>
                </c:pt>
                <c:pt idx="412">
                  <c:v>-47.5265213070765</c:v>
                </c:pt>
                <c:pt idx="413">
                  <c:v>-48.375047168268878</c:v>
                </c:pt>
                <c:pt idx="414">
                  <c:v>-49.220757821218108</c:v>
                </c:pt>
                <c:pt idx="415">
                  <c:v>-50.063598854178295</c:v>
                </c:pt>
                <c:pt idx="416">
                  <c:v>-50.90351287926859</c:v>
                </c:pt>
                <c:pt idx="417">
                  <c:v>-51.740439989860214</c:v>
                </c:pt>
                <c:pt idx="418">
                  <c:v>-52.574318259433888</c:v>
                </c:pt>
                <c:pt idx="419">
                  <c:v>-53.405084276093547</c:v>
                </c:pt>
                <c:pt idx="420">
                  <c:v>-54.232673706584073</c:v>
                </c:pt>
                <c:pt idx="421">
                  <c:v>-55.057021883458269</c:v>
                </c:pt>
                <c:pt idx="422">
                  <c:v>-55.878064408919919</c:v>
                </c:pt>
                <c:pt idx="423">
                  <c:v>-56.695737768865399</c:v>
                </c:pt>
                <c:pt idx="424">
                  <c:v>-57.509979950722311</c:v>
                </c:pt>
                <c:pt idx="425">
                  <c:v>-58.320731058869612</c:v>
                </c:pt>
                <c:pt idx="426">
                  <c:v>-59.127933921669793</c:v>
                </c:pt>
                <c:pt idx="427">
                  <c:v>-59.93153468447386</c:v>
                </c:pt>
                <c:pt idx="428">
                  <c:v>-60.731483383358601</c:v>
                </c:pt>
                <c:pt idx="429">
                  <c:v>-61.527734494784156</c:v>
                </c:pt>
                <c:pt idx="430">
                  <c:v>-62.32024745684722</c:v>
                </c:pt>
                <c:pt idx="431">
                  <c:v>-63.108987158322449</c:v>
                </c:pt>
                <c:pt idx="432">
                  <c:v>-63.89392439220164</c:v>
                </c:pt>
                <c:pt idx="433">
                  <c:v>-64.675036270988173</c:v>
                </c:pt>
                <c:pt idx="434">
                  <c:v>-65.452306601539306</c:v>
                </c:pt>
                <c:pt idx="435">
                  <c:v>-66.225726217768724</c:v>
                </c:pt>
                <c:pt idx="436">
                  <c:v>-66.995293270041444</c:v>
                </c:pt>
                <c:pt idx="437">
                  <c:v>-67.761013470565885</c:v>
                </c:pt>
                <c:pt idx="438">
                  <c:v>-68.522900294552002</c:v>
                </c:pt>
                <c:pt idx="439">
                  <c:v>-69.280975137310762</c:v>
                </c:pt>
                <c:pt idx="440">
                  <c:v>-70.035267427863602</c:v>
                </c:pt>
                <c:pt idx="441">
                  <c:v>-70.785814699955068</c:v>
                </c:pt>
                <c:pt idx="442">
                  <c:v>-71.532662621668166</c:v>
                </c:pt>
                <c:pt idx="443">
                  <c:v>-72.275864985090294</c:v>
                </c:pt>
                <c:pt idx="444">
                  <c:v>-73.015483657682921</c:v>
                </c:pt>
                <c:pt idx="445">
                  <c:v>-73.751588497186674</c:v>
                </c:pt>
                <c:pt idx="446">
                  <c:v>-74.484257232007536</c:v>
                </c:pt>
                <c:pt idx="447">
                  <c:v>-75.213575309129965</c:v>
                </c:pt>
                <c:pt idx="448">
                  <c:v>-75.939635711647071</c:v>
                </c:pt>
                <c:pt idx="449">
                  <c:v>-76.662538748027558</c:v>
                </c:pt>
                <c:pt idx="450">
                  <c:v>-77.382391815220558</c:v>
                </c:pt>
                <c:pt idx="451">
                  <c:v>-78.099309137675021</c:v>
                </c:pt>
                <c:pt idx="452">
                  <c:v>-78.813411484281104</c:v>
                </c:pt>
                <c:pt idx="453">
                  <c:v>-79.524825865175856</c:v>
                </c:pt>
                <c:pt idx="454">
                  <c:v>-80.233685210249064</c:v>
                </c:pt>
                <c:pt idx="455">
                  <c:v>-80.94012803109247</c:v>
                </c:pt>
                <c:pt idx="456">
                  <c:v>-81.64429806800355</c:v>
                </c:pt>
                <c:pt idx="457">
                  <c:v>-82.346343923549554</c:v>
                </c:pt>
                <c:pt idx="458">
                  <c:v>-83.046418684054046</c:v>
                </c:pt>
                <c:pt idx="459">
                  <c:v>-83.744679530249257</c:v>
                </c:pt>
                <c:pt idx="460">
                  <c:v>-84.441287338204702</c:v>
                </c:pt>
                <c:pt idx="461">
                  <c:v>-85.136406271517885</c:v>
                </c:pt>
                <c:pt idx="462">
                  <c:v>-85.830203365631817</c:v>
                </c:pt>
                <c:pt idx="463">
                  <c:v>-86.522848105028544</c:v>
                </c:pt>
                <c:pt idx="464">
                  <c:v>-87.214511993941144</c:v>
                </c:pt>
                <c:pt idx="465">
                  <c:v>-87.905368121126287</c:v>
                </c:pt>
                <c:pt idx="466">
                  <c:v>-88.595590719157315</c:v>
                </c:pt>
                <c:pt idx="467">
                  <c:v>-89.285354718612439</c:v>
                </c:pt>
                <c:pt idx="468">
                  <c:v>-89.974835297474456</c:v>
                </c:pt>
                <c:pt idx="469">
                  <c:v>-90.664207426003856</c:v>
                </c:pt>
                <c:pt idx="470">
                  <c:v>-91.353645407306658</c:v>
                </c:pt>
                <c:pt idx="471">
                  <c:v>-92.043322413796929</c:v>
                </c:pt>
                <c:pt idx="472">
                  <c:v>-92.733410019735302</c:v>
                </c:pt>
                <c:pt idx="473">
                  <c:v>-93.424077730038547</c:v>
                </c:pt>
                <c:pt idx="474">
                  <c:v>-94.115492505561733</c:v>
                </c:pt>
                <c:pt idx="475">
                  <c:v>-94.807818285092651</c:v>
                </c:pt>
                <c:pt idx="476">
                  <c:v>-95.501215504344032</c:v>
                </c:pt>
                <c:pt idx="477">
                  <c:v>-96.195840612286133</c:v>
                </c:pt>
                <c:pt idx="478">
                  <c:v>-96.891845585240532</c:v>
                </c:pt>
                <c:pt idx="479">
                  <c:v>-97.589377439241659</c:v>
                </c:pt>
                <c:pt idx="480">
                  <c:v>-98.28857774127404</c:v>
                </c:pt>
                <c:pt idx="481">
                  <c:v>-98.989582120106249</c:v>
                </c:pt>
                <c:pt idx="482">
                  <c:v>-99.692519777569288</c:v>
                </c:pt>
                <c:pt idx="483">
                  <c:v>-100.39751300125802</c:v>
                </c:pt>
                <c:pt idx="484">
                  <c:v>-101.10467667978449</c:v>
                </c:pt>
                <c:pt idx="485">
                  <c:v>-101.8141178218595</c:v>
                </c:pt>
                <c:pt idx="486">
                  <c:v>-102.52593508063941</c:v>
                </c:pt>
                <c:pt idx="487">
                  <c:v>-103.2402182849408</c:v>
                </c:pt>
                <c:pt idx="488">
                  <c:v>-103.95704797908378</c:v>
                </c:pt>
                <c:pt idx="489">
                  <c:v>-104.6764949733016</c:v>
                </c:pt>
                <c:pt idx="490">
                  <c:v>-105.39861990680502</c:v>
                </c:pt>
                <c:pt idx="491">
                  <c:v>-106.12347282575905</c:v>
                </c:pt>
                <c:pt idx="492">
                  <c:v>-106.85109277857012</c:v>
                </c:pt>
                <c:pt idx="493">
                  <c:v>-107.5815074310312</c:v>
                </c:pt>
                <c:pt idx="494">
                  <c:v>-108.31473270398467</c:v>
                </c:pt>
                <c:pt idx="495">
                  <c:v>-109.05077243628031</c:v>
                </c:pt>
                <c:pt idx="496">
                  <c:v>-109.78961807588473</c:v>
                </c:pt>
                <c:pt idx="497">
                  <c:v>-110.53124840206212</c:v>
                </c:pt>
                <c:pt idx="498">
                  <c:v>-111.27562928157582</c:v>
                </c:pt>
                <c:pt idx="499">
                  <c:v>-112.02271346186645</c:v>
                </c:pt>
                <c:pt idx="500">
                  <c:v>-112.77244040412306</c:v>
                </c:pt>
                <c:pt idx="501">
                  <c:v>-113.52473615909867</c:v>
                </c:pt>
                <c:pt idx="502">
                  <c:v>-114.27951328840791</c:v>
                </c:pt>
                <c:pt idx="503">
                  <c:v>-115.036670833896</c:v>
                </c:pt>
                <c:pt idx="504">
                  <c:v>-115.79609433746992</c:v>
                </c:pt>
                <c:pt idx="505">
                  <c:v>-116.55765591354941</c:v>
                </c:pt>
                <c:pt idx="506">
                  <c:v>-117.32121437601347</c:v>
                </c:pt>
                <c:pt idx="507">
                  <c:v>-118.08661542118772</c:v>
                </c:pt>
                <c:pt idx="508">
                  <c:v>-118.85369186806683</c:v>
                </c:pt>
                <c:pt idx="509">
                  <c:v>-119.62226395655068</c:v>
                </c:pt>
                <c:pt idx="510">
                  <c:v>-120.39213970403779</c:v>
                </c:pt>
                <c:pt idx="511">
                  <c:v>-121.16311532026253</c:v>
                </c:pt>
                <c:pt idx="512">
                  <c:v>-121.93497567975591</c:v>
                </c:pt>
                <c:pt idx="513">
                  <c:v>-122.70749485080664</c:v>
                </c:pt>
                <c:pt idx="514">
                  <c:v>-123.48043667927249</c:v>
                </c:pt>
                <c:pt idx="515">
                  <c:v>-124.25355542507059</c:v>
                </c:pt>
                <c:pt idx="516">
                  <c:v>-125.02659644863874</c:v>
                </c:pt>
                <c:pt idx="517">
                  <c:v>-125.79929694416326</c:v>
                </c:pt>
                <c:pt idx="518">
                  <c:v>-126.57138671586235</c:v>
                </c:pt>
                <c:pt idx="519">
                  <c:v>-127.34258899315924</c:v>
                </c:pt>
                <c:pt idx="520">
                  <c:v>-128.11262128015269</c:v>
                </c:pt>
                <c:pt idx="521">
                  <c:v>-128.88119623440366</c:v>
                </c:pt>
                <c:pt idx="522">
                  <c:v>-129.64802256972919</c:v>
                </c:pt>
                <c:pt idx="523">
                  <c:v>-130.41280597742758</c:v>
                </c:pt>
                <c:pt idx="524">
                  <c:v>-131.17525006014381</c:v>
                </c:pt>
                <c:pt idx="525">
                  <c:v>-131.93505727242948</c:v>
                </c:pt>
                <c:pt idx="526">
                  <c:v>-132.69192986200011</c:v>
                </c:pt>
                <c:pt idx="527">
                  <c:v>-133.44557080567722</c:v>
                </c:pt>
                <c:pt idx="528">
                  <c:v>-134.19568473406653</c:v>
                </c:pt>
                <c:pt idx="529">
                  <c:v>-134.941978839179</c:v>
                </c:pt>
                <c:pt idx="530">
                  <c:v>-135.68416375939009</c:v>
                </c:pt>
                <c:pt idx="531">
                  <c:v>-136.42195443641666</c:v>
                </c:pt>
                <c:pt idx="532">
                  <c:v>-137.15507093931171</c:v>
                </c:pt>
                <c:pt idx="533">
                  <c:v>-137.8832392508647</c:v>
                </c:pt>
                <c:pt idx="534">
                  <c:v>-138.60619201221385</c:v>
                </c:pt>
                <c:pt idx="535">
                  <c:v>-139.32366922195195</c:v>
                </c:pt>
                <c:pt idx="536">
                  <c:v>-140.03541888649346</c:v>
                </c:pt>
                <c:pt idx="537">
                  <c:v>-140.74119761899647</c:v>
                </c:pt>
                <c:pt idx="538">
                  <c:v>-141.44077118465367</c:v>
                </c:pt>
                <c:pt idx="539">
                  <c:v>-142.13391499070991</c:v>
                </c:pt>
                <c:pt idx="540">
                  <c:v>-142.82041452008741</c:v>
                </c:pt>
                <c:pt idx="541">
                  <c:v>-143.50006570803635</c:v>
                </c:pt>
              </c:numCache>
            </c:numRef>
          </c:yVal>
          <c:smooth val="1"/>
          <c:extLst>
            <c:ext xmlns:c16="http://schemas.microsoft.com/office/drawing/2014/chart" uri="{C3380CC4-5D6E-409C-BE32-E72D297353CC}">
              <c16:uniqueId val="{00000001-60FA-41CA-AA9C-7A171A922A6D}"/>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8"/>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754380</xdr:colOff>
          <xdr:row>58</xdr:row>
          <xdr:rowOff>0</xdr:rowOff>
        </xdr:from>
        <xdr:to>
          <xdr:col>8</xdr:col>
          <xdr:colOff>7620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18</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18</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31" zoomScale="85" zoomScaleNormal="85" workbookViewId="0">
      <selection activeCell="H43" sqref="H43"/>
    </sheetView>
  </sheetViews>
  <sheetFormatPr defaultColWidth="8.88671875" defaultRowHeight="14.4" x14ac:dyDescent="0.3"/>
  <cols>
    <col min="1" max="6" width="8.88671875" style="120" customWidth="1"/>
    <col min="7" max="7" width="8.88671875" style="188" customWidth="1"/>
    <col min="8" max="8" width="12" style="120" bestFit="1" customWidth="1"/>
    <col min="9" max="9" width="4.109375" style="120" bestFit="1" customWidth="1"/>
    <col min="10" max="10" width="4.88671875" style="120" customWidth="1"/>
    <col min="11" max="20" width="8.88671875" style="120" customWidth="1"/>
    <col min="21" max="21" width="8.88671875" style="124" customWidth="1"/>
    <col min="22" max="22" width="7.109375" style="120" customWidth="1"/>
    <col min="23" max="26" width="8.88671875" style="120" customWidth="1"/>
    <col min="27" max="27" width="1.88671875" style="189" customWidth="1"/>
    <col min="28" max="16384" width="8.88671875" style="120"/>
  </cols>
  <sheetData>
    <row r="1" spans="1:27" ht="46.65"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14.8</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12</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8</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1000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21.145</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96</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90</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60</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40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1.2770522388059702</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21.454545454545453</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15</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24.672727272727268</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4.0530582166543851</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4</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25</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5.333333333333333</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20</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9.7979589711327115</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750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263.99999999999989</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9.7979589711327115</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354</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5</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5.31</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599.99999999999989</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7</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6</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153.80000000000004</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42</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11.454545454545453</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18V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13.636363636363637</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14</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3.2152513755938466</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3.5</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3.2213241085222792</v>
      </c>
      <c r="G71" s="212" t="s">
        <v>177</v>
      </c>
      <c r="H71" s="209">
        <v>4.2699999999999996</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38.13545127558497</v>
      </c>
      <c r="G72" s="212" t="s">
        <v>180</v>
      </c>
      <c r="H72" s="209">
        <v>36</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2561.0586585106234</v>
      </c>
      <c r="G73" s="213" t="s">
        <v>179</v>
      </c>
      <c r="H73" s="198">
        <v>2000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5</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18</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5.9</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7.4</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2</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1.77</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8</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65</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160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754380</xdr:colOff>
                    <xdr:row>58</xdr:row>
                    <xdr:rowOff>0</xdr:rowOff>
                  </from>
                  <to>
                    <xdr:col>8</xdr:col>
                    <xdr:colOff>7620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88671875" customWidth="1"/>
    <col min="2" max="2" width="19.5546875" customWidth="1"/>
    <col min="3" max="3" width="10.88671875" customWidth="1"/>
    <col min="4" max="4" width="10" bestFit="1" customWidth="1"/>
    <col min="5" max="5" width="18.5546875" customWidth="1"/>
    <col min="6" max="6" width="14.88671875" customWidth="1"/>
    <col min="7" max="7" width="15.109375" customWidth="1"/>
    <col min="8" max="8" width="12.5546875" customWidth="1"/>
    <col min="9" max="9" width="12.5546875" style="4" customWidth="1"/>
    <col min="12" max="12" width="12.441406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14.8</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1000000</v>
      </c>
      <c r="C10" s="4" t="s">
        <v>67</v>
      </c>
      <c r="E10" s="4" t="s">
        <v>68</v>
      </c>
    </row>
    <row r="11" spans="1:17" s="4" customFormat="1" x14ac:dyDescent="0.3">
      <c r="A11" s="4" t="s">
        <v>70</v>
      </c>
      <c r="B11" s="30">
        <f>((2.21*10^10)/Fsw)-955</f>
        <v>21145</v>
      </c>
      <c r="C11" s="2" t="s">
        <v>36</v>
      </c>
      <c r="E11" s="4" t="s">
        <v>71</v>
      </c>
    </row>
    <row r="13" spans="1:17" x14ac:dyDescent="0.3">
      <c r="A13" t="s">
        <v>31</v>
      </c>
      <c r="B13" s="3">
        <f>'Design Converter'!H10</f>
        <v>12</v>
      </c>
      <c r="C13" t="s">
        <v>10</v>
      </c>
      <c r="E13" t="s">
        <v>32</v>
      </c>
    </row>
    <row r="14" spans="1:17" x14ac:dyDescent="0.3">
      <c r="A14" t="s">
        <v>33</v>
      </c>
      <c r="B14" s="3">
        <f>'Design Converter'!H11</f>
        <v>8</v>
      </c>
      <c r="C14" t="s">
        <v>11</v>
      </c>
      <c r="E14" t="s">
        <v>34</v>
      </c>
    </row>
    <row r="15" spans="1:17" x14ac:dyDescent="0.3">
      <c r="A15" t="s">
        <v>35</v>
      </c>
      <c r="B15" s="1">
        <f>VOUT/IOUT</f>
        <v>1.5</v>
      </c>
      <c r="C15" s="2" t="s">
        <v>36</v>
      </c>
      <c r="E15" t="s">
        <v>41</v>
      </c>
    </row>
    <row r="16" spans="1:17" x14ac:dyDescent="0.3">
      <c r="A16" t="s">
        <v>37</v>
      </c>
      <c r="B16" s="1">
        <f>VOUT*IOUT</f>
        <v>96</v>
      </c>
      <c r="C16" s="2" t="s">
        <v>38</v>
      </c>
      <c r="E16" t="s">
        <v>40</v>
      </c>
    </row>
    <row r="17" spans="1:11" x14ac:dyDescent="0.3">
      <c r="A17" t="s">
        <v>39</v>
      </c>
      <c r="B17" s="21">
        <v>1</v>
      </c>
      <c r="E17" t="s">
        <v>434</v>
      </c>
    </row>
    <row r="19" spans="1:11" x14ac:dyDescent="0.3">
      <c r="A19" t="s">
        <v>42</v>
      </c>
      <c r="B19" s="1">
        <f>(VOUT)/(VIN_min+VOUT)</f>
        <v>0.6</v>
      </c>
      <c r="E19" t="s">
        <v>435</v>
      </c>
    </row>
    <row r="20" spans="1:11" s="4" customFormat="1" x14ac:dyDescent="0.3">
      <c r="A20" t="s">
        <v>43</v>
      </c>
      <c r="B20" s="22">
        <f>Constants!B20</f>
        <v>0.9</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0.4</v>
      </c>
      <c r="E28" t="s">
        <v>99</v>
      </c>
    </row>
    <row r="29" spans="1:11" s="32" customFormat="1" x14ac:dyDescent="0.3">
      <c r="A29" s="32" t="s">
        <v>94</v>
      </c>
      <c r="B29" s="38">
        <f>(VIN_nom^2)/(2*ILrip*IOUT*Fsw*(VIN_nom+VOUT))</f>
        <v>1.2770522388059703E-6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4.8999999999999997E-7</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8.8888888888888908E-8</v>
      </c>
      <c r="C35" s="32" t="s">
        <v>86</v>
      </c>
      <c r="E35" s="32" t="s">
        <v>449</v>
      </c>
    </row>
    <row r="36" spans="1:5" s="32" customFormat="1" x14ac:dyDescent="0.3">
      <c r="A36" s="32" t="s">
        <v>450</v>
      </c>
      <c r="B36" s="38">
        <f>MIN(B33,B35)</f>
        <v>8.8888888888888908E-8</v>
      </c>
      <c r="C36" s="32" t="s">
        <v>86</v>
      </c>
      <c r="E36" s="32" t="s">
        <v>451</v>
      </c>
    </row>
    <row r="37" spans="1:5" s="32" customFormat="1" x14ac:dyDescent="0.3">
      <c r="B37" s="220"/>
    </row>
    <row r="38" spans="1:5" s="32" customFormat="1" x14ac:dyDescent="0.3">
      <c r="A38" s="32" t="s">
        <v>454</v>
      </c>
      <c r="B38" s="38">
        <f>IF(B21=1,B36,Lopt_2)</f>
        <v>1.2770522388059703E-6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6" customHeight="1" x14ac:dyDescent="0.3">
      <c r="A42" s="32" t="s">
        <v>521</v>
      </c>
      <c r="B42" s="230">
        <f>Lm</f>
        <v>3.2999999999999997E-6</v>
      </c>
      <c r="E42" s="32" t="s">
        <v>522</v>
      </c>
    </row>
    <row r="43" spans="1:5" s="32" customFormat="1" ht="15.6"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0.6</v>
      </c>
      <c r="E53" s="32" t="s">
        <v>541</v>
      </c>
    </row>
    <row r="54" spans="1:5" s="32" customFormat="1" x14ac:dyDescent="0.3">
      <c r="B54" s="23">
        <f>B53/Fsw</f>
        <v>5.9999999999999997E-7</v>
      </c>
      <c r="C54" s="32" t="s">
        <v>52</v>
      </c>
      <c r="E54" s="32" t="s">
        <v>276</v>
      </c>
    </row>
    <row r="55" spans="1:5" s="32" customFormat="1" x14ac:dyDescent="0.3">
      <c r="A55" s="231" t="s">
        <v>520</v>
      </c>
      <c r="B55" s="229"/>
    </row>
    <row r="56" spans="1:5" s="32" customFormat="1" x14ac:dyDescent="0.3">
      <c r="A56" s="32" t="s">
        <v>528</v>
      </c>
      <c r="B56" s="29">
        <f>(VOUT*IOUT)/(VIN_min)</f>
        <v>12</v>
      </c>
      <c r="C56" s="32" t="s">
        <v>11</v>
      </c>
      <c r="E56" s="32" t="s">
        <v>83</v>
      </c>
    </row>
    <row r="57" spans="1:5" s="32" customFormat="1" x14ac:dyDescent="0.3">
      <c r="A57" s="32" t="s">
        <v>529</v>
      </c>
      <c r="B57" s="28">
        <f>(VIN_min*Dc_VIN_min)/(Lm_A*Fsw)</f>
        <v>1.4545454545454546</v>
      </c>
      <c r="C57" s="32" t="s">
        <v>11</v>
      </c>
      <c r="E57" s="32" t="s">
        <v>97</v>
      </c>
    </row>
    <row r="58" spans="1:5" x14ac:dyDescent="0.3">
      <c r="A58" t="s">
        <v>530</v>
      </c>
      <c r="B58" s="28">
        <f>IF(B52=0,(VIN_min*Dc_VIN_min)/(Lm*Fsw),(ILA_avg_VIN_min/EFF_est)+(ILArip_VINmin/2))</f>
        <v>12.727272727272727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8</v>
      </c>
      <c r="C61" s="32" t="s">
        <v>11</v>
      </c>
    </row>
    <row r="62" spans="1:5" s="32" customFormat="1" x14ac:dyDescent="0.3">
      <c r="A62" s="32" t="s">
        <v>539</v>
      </c>
      <c r="B62" s="23">
        <f>(VIN_min*Dc_VIN_min)/(Lm*Fsw)</f>
        <v>1.4545454545454546</v>
      </c>
      <c r="C62" s="32" t="s">
        <v>11</v>
      </c>
    </row>
    <row r="63" spans="1:5" s="32" customFormat="1" x14ac:dyDescent="0.3">
      <c r="A63" s="32" t="s">
        <v>540</v>
      </c>
      <c r="B63" s="23">
        <f>B61+B62/2</f>
        <v>8.7272727272727266</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21.454545454545453</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0.44776119402985076</v>
      </c>
      <c r="E70" s="32" t="s">
        <v>436</v>
      </c>
    </row>
    <row r="71" spans="1:5" s="32" customFormat="1" x14ac:dyDescent="0.3">
      <c r="B71" s="23">
        <f>B70/Fsw</f>
        <v>4.4776119402985079E-7</v>
      </c>
      <c r="C71" s="32" t="s">
        <v>52</v>
      </c>
      <c r="E71" s="32" t="s">
        <v>276</v>
      </c>
    </row>
    <row r="72" spans="1:5" s="32" customFormat="1" x14ac:dyDescent="0.3">
      <c r="A72" s="231" t="s">
        <v>520</v>
      </c>
      <c r="B72" s="229"/>
    </row>
    <row r="73" spans="1:5" s="32" customFormat="1" x14ac:dyDescent="0.3">
      <c r="A73" s="32" t="s">
        <v>531</v>
      </c>
      <c r="B73" s="29">
        <f>(VOUT*IOUT)/(VIN_nom)</f>
        <v>6.486486486486486</v>
      </c>
      <c r="C73" s="32" t="s">
        <v>11</v>
      </c>
      <c r="E73" s="32" t="s">
        <v>84</v>
      </c>
    </row>
    <row r="74" spans="1:5" x14ac:dyDescent="0.3">
      <c r="A74" s="32" t="s">
        <v>532</v>
      </c>
      <c r="B74" s="28">
        <f>(VIN_nom*Dc_VIN_nom)/(Lm*Fsw)</f>
        <v>2.0081411126187247</v>
      </c>
      <c r="C74" s="32" t="s">
        <v>11</v>
      </c>
      <c r="E74" s="32" t="s">
        <v>100</v>
      </c>
    </row>
    <row r="75" spans="1:5" x14ac:dyDescent="0.3">
      <c r="A75" s="32" t="s">
        <v>533</v>
      </c>
      <c r="B75" s="28">
        <f>IF(B69=0,(VIN_nom*Dc_VIN_nom)/(Lm*Fsw),(ILA_avg_VIN_nom/EFF_est)+(ILArip_VINnom/2))</f>
        <v>7.4905570427958486</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8</v>
      </c>
      <c r="C78" s="32" t="s">
        <v>11</v>
      </c>
      <c r="E78" s="32" t="s">
        <v>552</v>
      </c>
    </row>
    <row r="79" spans="1:5" s="32" customFormat="1" x14ac:dyDescent="0.3">
      <c r="A79" s="32" t="s">
        <v>545</v>
      </c>
      <c r="B79" s="23">
        <f>(VIN_nom*Dc_VIN_nom)/(Lm*Fsw)</f>
        <v>2.0081411126187247</v>
      </c>
      <c r="C79" s="32" t="s">
        <v>11</v>
      </c>
    </row>
    <row r="80" spans="1:5" s="32" customFormat="1" x14ac:dyDescent="0.3">
      <c r="A80" s="32" t="s">
        <v>546</v>
      </c>
      <c r="B80" s="23">
        <f>B78+B79/2</f>
        <v>9.0040705563093617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16.494627599105211</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0.4</v>
      </c>
      <c r="E87" s="32" t="s">
        <v>437</v>
      </c>
    </row>
    <row r="88" spans="1:5" s="32" customFormat="1" x14ac:dyDescent="0.3">
      <c r="B88" s="23">
        <f>B87/Fsw</f>
        <v>4.0000000000000003E-7</v>
      </c>
      <c r="C88" s="32" t="s">
        <v>52</v>
      </c>
      <c r="E88" s="32" t="s">
        <v>276</v>
      </c>
    </row>
    <row r="89" spans="1:5" s="32" customFormat="1" x14ac:dyDescent="0.3">
      <c r="A89" s="231" t="s">
        <v>520</v>
      </c>
      <c r="B89" s="229"/>
    </row>
    <row r="90" spans="1:5" s="32" customFormat="1" x14ac:dyDescent="0.3">
      <c r="A90" s="32" t="s">
        <v>534</v>
      </c>
      <c r="B90" s="29">
        <f>(VOUT*IOUT)/(VIN_max)</f>
        <v>5.333333333333333</v>
      </c>
      <c r="C90" s="32" t="s">
        <v>11</v>
      </c>
      <c r="E90" s="32" t="s">
        <v>85</v>
      </c>
    </row>
    <row r="91" spans="1:5" x14ac:dyDescent="0.3">
      <c r="A91" s="32" t="s">
        <v>535</v>
      </c>
      <c r="B91" s="28">
        <f>(VIN_max*Dc_VIN_max)/(Lm*Fsw)</f>
        <v>2.1818181818181821</v>
      </c>
      <c r="C91" s="32" t="s">
        <v>11</v>
      </c>
      <c r="E91" s="32" t="s">
        <v>102</v>
      </c>
    </row>
    <row r="92" spans="1:5" x14ac:dyDescent="0.3">
      <c r="A92" s="32" t="s">
        <v>536</v>
      </c>
      <c r="B92" s="28">
        <f>ILA_avg_VIN_max+ILArip_VINmax/2</f>
        <v>6.4242424242424239</v>
      </c>
      <c r="C92" s="32" t="s">
        <v>11</v>
      </c>
      <c r="E92" s="32" t="s">
        <v>103</v>
      </c>
    </row>
    <row r="94" spans="1:5" s="32" customFormat="1" x14ac:dyDescent="0.3">
      <c r="A94" s="231" t="s">
        <v>537</v>
      </c>
      <c r="B94" s="229"/>
      <c r="E94" s="32" t="s">
        <v>552</v>
      </c>
    </row>
    <row r="95" spans="1:5" s="32" customFormat="1" x14ac:dyDescent="0.3">
      <c r="A95" s="32" t="s">
        <v>548</v>
      </c>
      <c r="B95" s="23">
        <f>IOUT</f>
        <v>8</v>
      </c>
      <c r="C95" s="32" t="s">
        <v>11</v>
      </c>
    </row>
    <row r="96" spans="1:5" s="32" customFormat="1" x14ac:dyDescent="0.3">
      <c r="A96" s="32" t="s">
        <v>549</v>
      </c>
      <c r="B96" s="23">
        <f>(VIN_max*Dc_VIN_max)/(Lm*Fsw)</f>
        <v>2.1818181818181821</v>
      </c>
      <c r="C96" s="32" t="s">
        <v>11</v>
      </c>
    </row>
    <row r="97" spans="1:5" s="32" customFormat="1" x14ac:dyDescent="0.3">
      <c r="A97" s="32" t="s">
        <v>550</v>
      </c>
      <c r="B97" s="23">
        <f>B95+B96/2</f>
        <v>9.0909090909090917</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15.515151515151514</v>
      </c>
      <c r="C100" s="32" t="s">
        <v>11</v>
      </c>
    </row>
    <row r="101" spans="1:5" s="32" customFormat="1" x14ac:dyDescent="0.3">
      <c r="B101" s="232"/>
    </row>
    <row r="102" spans="1:5" x14ac:dyDescent="0.3">
      <c r="A102" s="31" t="s">
        <v>98</v>
      </c>
    </row>
    <row r="103" spans="1:5" x14ac:dyDescent="0.3">
      <c r="A103" t="s">
        <v>105</v>
      </c>
      <c r="B103" s="3">
        <f>'Design Converter'!H26/100</f>
        <v>0.15</v>
      </c>
      <c r="E103" t="s">
        <v>106</v>
      </c>
    </row>
    <row r="104" spans="1:5" x14ac:dyDescent="0.3">
      <c r="A104" t="s">
        <v>107</v>
      </c>
      <c r="B104" s="29">
        <f>(1+Ipk_margin)*ISW_peak_VIN_min</f>
        <v>24.672727272727268</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1.571035714285714E-2</v>
      </c>
      <c r="C107" s="2" t="s">
        <v>36</v>
      </c>
      <c r="E107" t="s">
        <v>113</v>
      </c>
    </row>
    <row r="108" spans="1:5" x14ac:dyDescent="0.3">
      <c r="A108" t="s">
        <v>120</v>
      </c>
      <c r="B108" s="38">
        <f>Vcl/Ipk_selected</f>
        <v>4.0530582166543854E-3</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4.680753074895674E-3</v>
      </c>
      <c r="C111" s="2" t="s">
        <v>36</v>
      </c>
      <c r="E111" t="s">
        <v>133</v>
      </c>
    </row>
    <row r="112" spans="1:5" x14ac:dyDescent="0.3">
      <c r="A112" t="s">
        <v>127</v>
      </c>
      <c r="B112" s="28">
        <f>(Vcl-(Ipk_selected*Rcs_w_sl))/(Isl*Dc_VIN_min)</f>
        <v>-860.38578043780615</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4.0530582166543854E-3</v>
      </c>
      <c r="C115" s="2" t="s">
        <v>36</v>
      </c>
      <c r="E115" t="s">
        <v>461</v>
      </c>
    </row>
    <row r="116" spans="1:11" x14ac:dyDescent="0.3">
      <c r="A116" t="s">
        <v>129</v>
      </c>
      <c r="B116" s="1">
        <f>IF(B52=0,0,IF(B114=0,0,B112))</f>
        <v>0</v>
      </c>
      <c r="C116" s="2" t="s">
        <v>36</v>
      </c>
      <c r="E116" t="s">
        <v>462</v>
      </c>
    </row>
    <row r="118" spans="1:11" x14ac:dyDescent="0.3">
      <c r="A118" t="s">
        <v>130</v>
      </c>
      <c r="B118" s="42">
        <f>'Design Converter'!H30/1000</f>
        <v>4.0000000000000001E-3</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8.247937499999999</v>
      </c>
      <c r="C121" t="s">
        <v>147</v>
      </c>
      <c r="E121" t="s">
        <v>138</v>
      </c>
      <c r="K121">
        <f>IF(B69=0,0,IF(B121&lt;0.5,1,0))</f>
        <v>0</v>
      </c>
    </row>
    <row r="122" spans="1:11" s="32" customFormat="1" x14ac:dyDescent="0.3">
      <c r="A122" s="32" t="s">
        <v>141</v>
      </c>
      <c r="B122" s="29">
        <f>(Vcl-(Isl*R_sl*Dc_VIN_min))/R_cs</f>
        <v>25</v>
      </c>
      <c r="C122" s="32" t="s">
        <v>11</v>
      </c>
      <c r="E122" s="32" t="s">
        <v>143</v>
      </c>
      <c r="K122">
        <f>IF(IL_pk&lt;Ipk_selected,1,0)</f>
        <v>0</v>
      </c>
    </row>
    <row r="123" spans="1:11" x14ac:dyDescent="0.3">
      <c r="A123" t="s">
        <v>142</v>
      </c>
      <c r="B123" s="29">
        <f>(Vcl-(Isl*R_sl*Dc_VIN_max))/R_cs</f>
        <v>25</v>
      </c>
      <c r="C123" t="s">
        <v>11</v>
      </c>
      <c r="E123" t="s">
        <v>144</v>
      </c>
    </row>
    <row r="124" spans="1:11" x14ac:dyDescent="0.3">
      <c r="A124" t="s">
        <v>145</v>
      </c>
      <c r="B124" s="1">
        <f>0.15</f>
        <v>0.15</v>
      </c>
      <c r="E124" t="s">
        <v>146</v>
      </c>
    </row>
    <row r="125" spans="1:11" x14ac:dyDescent="0.3">
      <c r="A125" t="s">
        <v>148</v>
      </c>
      <c r="B125" s="28">
        <f>(1+B124)*B123</f>
        <v>28.749999999999996</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5.3333333333333328E-6</v>
      </c>
      <c r="C131" s="32" t="s">
        <v>158</v>
      </c>
      <c r="E131" s="32" t="s">
        <v>565</v>
      </c>
    </row>
    <row r="132" spans="1:5" s="32" customFormat="1" x14ac:dyDescent="0.3">
      <c r="A132" s="32" t="s">
        <v>564</v>
      </c>
      <c r="B132" s="45">
        <f>'Design Converter'!H36*(10^-6)</f>
        <v>1.9999999999999998E-5</v>
      </c>
      <c r="C132" s="32" t="s">
        <v>158</v>
      </c>
      <c r="E132" s="32" t="s">
        <v>567</v>
      </c>
    </row>
    <row r="133" spans="1:5" s="32" customFormat="1" x14ac:dyDescent="0.3">
      <c r="A133" s="32" t="s">
        <v>569</v>
      </c>
      <c r="B133" s="29">
        <f>(IOUT*Dc_VIN_min)/(Cac*Fsw)</f>
        <v>0.24</v>
      </c>
      <c r="C133" s="32" t="s">
        <v>10</v>
      </c>
      <c r="E133" s="32" t="s">
        <v>570</v>
      </c>
    </row>
    <row r="134" spans="1:5" s="32" customFormat="1" x14ac:dyDescent="0.3">
      <c r="A134" s="32" t="s">
        <v>568</v>
      </c>
      <c r="B134" s="29">
        <f>IOUT*SQRT(VOUT/VIN_min)</f>
        <v>9.7979589711327115</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20202.020202020209</v>
      </c>
      <c r="C139" s="32" t="s">
        <v>511</v>
      </c>
      <c r="E139" s="32" t="s">
        <v>572</v>
      </c>
    </row>
    <row r="140" spans="1:5" x14ac:dyDescent="0.3">
      <c r="A140" t="s">
        <v>156</v>
      </c>
      <c r="B140" s="45">
        <f>'Design Converter'!H40/1000</f>
        <v>0.75</v>
      </c>
      <c r="C140" t="s">
        <v>10</v>
      </c>
      <c r="E140" t="s">
        <v>155</v>
      </c>
    </row>
    <row r="141" spans="1:5" s="32" customFormat="1" x14ac:dyDescent="0.3">
      <c r="A141" s="32" t="s">
        <v>467</v>
      </c>
      <c r="B141" s="1">
        <f>IOUT-0.5*IOUT</f>
        <v>4</v>
      </c>
      <c r="C141" s="32" t="s">
        <v>11</v>
      </c>
    </row>
    <row r="142" spans="1:5" x14ac:dyDescent="0.3">
      <c r="A142" t="s">
        <v>157</v>
      </c>
      <c r="B142" s="1">
        <f>B141/(Vout_rip_sel*B139)</f>
        <v>2.6399999999999991E-4</v>
      </c>
      <c r="C142" t="s">
        <v>158</v>
      </c>
      <c r="E142" t="s">
        <v>159</v>
      </c>
    </row>
    <row r="143" spans="1:5" x14ac:dyDescent="0.3">
      <c r="A143" t="s">
        <v>161</v>
      </c>
      <c r="B143" s="28">
        <f>IOUT*SQRT(VOUT/VIN_min)</f>
        <v>9.7979589711327115</v>
      </c>
      <c r="C143" t="s">
        <v>11</v>
      </c>
      <c r="E143" t="s">
        <v>573</v>
      </c>
    </row>
    <row r="144" spans="1:5" x14ac:dyDescent="0.3">
      <c r="A144" t="s">
        <v>165</v>
      </c>
      <c r="B144" s="3">
        <f>'Design Converter'!H43*(10^-6)</f>
        <v>3.5399999999999999E-4</v>
      </c>
      <c r="C144" t="s">
        <v>158</v>
      </c>
      <c r="E144" t="s">
        <v>164</v>
      </c>
    </row>
    <row r="145" spans="1:5" x14ac:dyDescent="0.3">
      <c r="A145" t="s">
        <v>163</v>
      </c>
      <c r="B145" s="3">
        <f>'Design Converter'!H44/1000</f>
        <v>5.0000000000000001E-3</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5.3099999999999992E-9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5.9999999999999987E-7</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7</v>
      </c>
      <c r="C154" s="32" t="s">
        <v>10</v>
      </c>
      <c r="E154" s="32" t="s">
        <v>295</v>
      </c>
    </row>
    <row r="155" spans="1:5" s="32" customFormat="1" x14ac:dyDescent="0.3">
      <c r="A155" s="32" t="s">
        <v>294</v>
      </c>
      <c r="B155" s="3">
        <f>'Design Converter'!H53</f>
        <v>6</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153800.00000000003</v>
      </c>
      <c r="C159" s="2" t="s">
        <v>36</v>
      </c>
      <c r="E159" s="32" t="s">
        <v>405</v>
      </c>
    </row>
    <row r="160" spans="1:5" s="32" customFormat="1" x14ac:dyDescent="0.3">
      <c r="A160" s="32" t="s">
        <v>307</v>
      </c>
      <c r="B160" s="3">
        <f>'Design Converter'!H55*1000</f>
        <v>42000</v>
      </c>
      <c r="C160" s="2" t="s">
        <v>36</v>
      </c>
      <c r="E160" s="32" t="s">
        <v>406</v>
      </c>
    </row>
    <row r="161" spans="1:5" s="32" customFormat="1" x14ac:dyDescent="0.3">
      <c r="A161" s="32" t="s">
        <v>308</v>
      </c>
      <c r="B161" s="30">
        <f>UV_rise*Ruvlo_top/(Vuvlo_on-UV_rise)</f>
        <v>11454.545454545454</v>
      </c>
      <c r="C161" s="2" t="s">
        <v>36</v>
      </c>
      <c r="E161" s="32" t="s">
        <v>407</v>
      </c>
    </row>
    <row r="162" spans="1:5" s="32" customFormat="1" x14ac:dyDescent="0.3">
      <c r="A162" s="32" t="s">
        <v>309</v>
      </c>
      <c r="B162" s="29">
        <f>UV_rise*(Ruvlo_top+Ruvlo_bottom_calc)/Ruvlo_bottom_calc</f>
        <v>7</v>
      </c>
      <c r="E162" s="32" t="s">
        <v>311</v>
      </c>
    </row>
    <row r="163" spans="1:5" s="32" customFormat="1" x14ac:dyDescent="0.3">
      <c r="A163" s="32" t="s">
        <v>310</v>
      </c>
      <c r="B163" s="29">
        <f>Ruvlo_top*((UV_fall/Ruvlo_top)-(UV_I_hyst)+(UV_fall/Ruvlo_bottom_calc))</f>
        <v>6.5566666666666675</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18V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13636.363636363636</v>
      </c>
      <c r="C171" s="2" t="s">
        <v>36</v>
      </c>
      <c r="E171" s="32" t="s">
        <v>244</v>
      </c>
    </row>
    <row r="172" spans="1:5" x14ac:dyDescent="0.3">
      <c r="A172" t="s">
        <v>187</v>
      </c>
      <c r="B172" s="3">
        <f>'Design Converter'!H64*(10^3)</f>
        <v>14000</v>
      </c>
      <c r="C172" s="2" t="s">
        <v>36</v>
      </c>
      <c r="E172" t="s">
        <v>245</v>
      </c>
    </row>
    <row r="173" spans="1:5" x14ac:dyDescent="0.3">
      <c r="A173" t="s">
        <v>246</v>
      </c>
      <c r="B173" s="1">
        <f>VOUT/(RFBB+RFBT)</f>
        <v>7.317073170731707E-5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13.593749999999998</v>
      </c>
    </row>
    <row r="179" spans="1:5" s="32" customFormat="1" x14ac:dyDescent="0.3"/>
    <row r="180" spans="1:5" s="32" customFormat="1" x14ac:dyDescent="0.3">
      <c r="A180" s="32" t="s">
        <v>410</v>
      </c>
      <c r="B180" s="22">
        <f>(1+Dc_VIN_min)/(Cout*(VOUT/IOUT))</f>
        <v>3013.1826741996233</v>
      </c>
      <c r="C180" s="32" t="s">
        <v>392</v>
      </c>
      <c r="E180" s="32" t="s">
        <v>391</v>
      </c>
    </row>
    <row r="181" spans="1:5" s="32" customFormat="1" x14ac:dyDescent="0.3">
      <c r="A181" s="32" t="s">
        <v>411</v>
      </c>
      <c r="B181" s="1">
        <f>B180/(2*PI())</f>
        <v>479.56291703772609</v>
      </c>
      <c r="C181" s="32" t="s">
        <v>67</v>
      </c>
      <c r="E181" s="32" t="s">
        <v>248</v>
      </c>
    </row>
    <row r="182" spans="1:5" s="32" customFormat="1" x14ac:dyDescent="0.3">
      <c r="B182" s="27"/>
    </row>
    <row r="183" spans="1:5" s="32" customFormat="1" x14ac:dyDescent="0.3">
      <c r="A183" s="32" t="s">
        <v>412</v>
      </c>
      <c r="B183" s="22">
        <f>1/(Cout*Resr)</f>
        <v>564971.75141242938</v>
      </c>
      <c r="C183" s="32" t="s">
        <v>393</v>
      </c>
      <c r="E183" s="32" t="s">
        <v>394</v>
      </c>
    </row>
    <row r="184" spans="1:5" s="32" customFormat="1" x14ac:dyDescent="0.3">
      <c r="A184" s="32" t="s">
        <v>413</v>
      </c>
      <c r="B184" s="1">
        <f>B183/(2*PI())</f>
        <v>89918.046944573638</v>
      </c>
      <c r="C184" s="32" t="s">
        <v>67</v>
      </c>
      <c r="E184" s="32" t="s">
        <v>250</v>
      </c>
    </row>
    <row r="185" spans="1:5" s="32" customFormat="1" x14ac:dyDescent="0.3">
      <c r="B185" s="27"/>
    </row>
    <row r="186" spans="1:5" s="32" customFormat="1" x14ac:dyDescent="0.3">
      <c r="A186" s="32" t="s">
        <v>414</v>
      </c>
      <c r="B186" s="22">
        <f>((VOUT/IOUT)*((1-Dc_VIN_min)^2))/(Lm*Dc_VIN_min)</f>
        <v>121212.12121212126</v>
      </c>
      <c r="E186" s="32" t="s">
        <v>390</v>
      </c>
    </row>
    <row r="187" spans="1:5" s="32" customFormat="1" x14ac:dyDescent="0.3">
      <c r="A187" s="32" t="s">
        <v>415</v>
      </c>
      <c r="B187" s="30">
        <f>B186/(2*PI())</f>
        <v>19291.508253563079</v>
      </c>
      <c r="C187" s="32" t="s">
        <v>67</v>
      </c>
      <c r="E187" s="32" t="s">
        <v>249</v>
      </c>
    </row>
    <row r="188" spans="1:5" s="32" customFormat="1" x14ac:dyDescent="0.3">
      <c r="B188" s="27">
        <f>Fsw/10</f>
        <v>100000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39990</v>
      </c>
      <c r="C191" s="32" t="s">
        <v>147</v>
      </c>
      <c r="E191" s="32" t="s">
        <v>210</v>
      </c>
    </row>
    <row r="192" spans="1:5" s="32" customFormat="1" x14ac:dyDescent="0.3">
      <c r="A192" s="32" t="s">
        <v>417</v>
      </c>
      <c r="B192" s="1">
        <f>(R_cs*VIN_min*Acs)/Lm</f>
        <v>9696.9696969696979</v>
      </c>
      <c r="C192" s="32" t="s">
        <v>147</v>
      </c>
      <c r="E192" s="32" t="s">
        <v>211</v>
      </c>
    </row>
    <row r="193" spans="1:5" s="32" customFormat="1" x14ac:dyDescent="0.3">
      <c r="B193" s="1"/>
    </row>
    <row r="194" spans="1:5" s="32" customFormat="1" x14ac:dyDescent="0.3">
      <c r="A194" s="32" t="s">
        <v>418</v>
      </c>
      <c r="B194" s="1">
        <f>2*PI()*Fsw</f>
        <v>6283185.307179586</v>
      </c>
      <c r="C194" s="32" t="s">
        <v>213</v>
      </c>
    </row>
    <row r="195" spans="1:5" s="32" customFormat="1" x14ac:dyDescent="0.3">
      <c r="A195" s="32" t="s">
        <v>419</v>
      </c>
      <c r="B195" s="1">
        <f>1/(PI()*(((1-Dc_VIN_min)*(1+(B191/B192)))-0.5))</f>
        <v>0.20541588402319372</v>
      </c>
    </row>
    <row r="196" spans="1:5" s="32" customFormat="1" x14ac:dyDescent="0.3">
      <c r="E196" s="32">
        <f>fcross</f>
        <v>3500</v>
      </c>
    </row>
    <row r="197" spans="1:5" s="32" customFormat="1" x14ac:dyDescent="0.3">
      <c r="B197" s="27"/>
    </row>
    <row r="198" spans="1:5" s="32" customFormat="1" x14ac:dyDescent="0.3">
      <c r="A198" s="32" t="s">
        <v>489</v>
      </c>
      <c r="B198" s="29">
        <f>IF(B189=0,fz_rhp/6,Fsw/10)</f>
        <v>3215.2513755938467</v>
      </c>
      <c r="C198" s="32" t="s">
        <v>67</v>
      </c>
      <c r="E198" s="32" t="s">
        <v>585</v>
      </c>
    </row>
    <row r="199" spans="1:5" s="32" customFormat="1" x14ac:dyDescent="0.3"/>
    <row r="200" spans="1:5" s="32" customFormat="1" x14ac:dyDescent="0.3"/>
    <row r="201" spans="1:5" s="32" customFormat="1" x14ac:dyDescent="0.3">
      <c r="A201" s="32" t="s">
        <v>261</v>
      </c>
      <c r="B201" s="72">
        <f>SQRT(B181*fcross)</f>
        <v>1295.5578758326628</v>
      </c>
      <c r="C201" s="32" t="s">
        <v>67</v>
      </c>
      <c r="E201" s="32" t="s">
        <v>513</v>
      </c>
    </row>
    <row r="202" spans="1:5" s="32" customFormat="1" x14ac:dyDescent="0.3">
      <c r="A202" s="32" t="s">
        <v>263</v>
      </c>
      <c r="B202" s="46">
        <f>fz_rhp</f>
        <v>19291.508253563079</v>
      </c>
      <c r="C202" s="32" t="s">
        <v>67</v>
      </c>
      <c r="E202" s="32" t="s">
        <v>429</v>
      </c>
    </row>
    <row r="203" spans="1:5" s="32" customFormat="1" x14ac:dyDescent="0.3">
      <c r="A203" s="32" t="s">
        <v>254</v>
      </c>
      <c r="B203" s="3">
        <f>fcross</f>
        <v>3500</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3221.3241085222794</v>
      </c>
      <c r="C206" s="2" t="s">
        <v>36</v>
      </c>
      <c r="E206" s="32" t="s">
        <v>260</v>
      </c>
    </row>
    <row r="207" spans="1:5" s="32" customFormat="1" x14ac:dyDescent="0.3">
      <c r="A207" s="32" t="s">
        <v>494</v>
      </c>
      <c r="B207" s="23">
        <f>1/(2*PI()*fz_ea_est*Rcomp_calc_CCM)</f>
        <v>3.8135451275584967E-8</v>
      </c>
      <c r="C207" s="2" t="s">
        <v>158</v>
      </c>
      <c r="E207" s="32" t="s">
        <v>487</v>
      </c>
    </row>
    <row r="208" spans="1:5" s="32" customFormat="1" x14ac:dyDescent="0.3">
      <c r="A208" s="32" t="s">
        <v>495</v>
      </c>
      <c r="B208" s="234">
        <f>(IOUT*Lm)/(Rcomp_calc_CCM*((1-Dc_VIN_min)^2)*(VIN_min+VOUT))</f>
        <v>2.5610586585106233E-9</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103.12457471747651</v>
      </c>
      <c r="C213" s="32" t="s">
        <v>147</v>
      </c>
      <c r="E213" s="32" t="s">
        <v>500</v>
      </c>
    </row>
    <row r="214" spans="1:5" s="32" customFormat="1" x14ac:dyDescent="0.3">
      <c r="A214" s="32" t="s">
        <v>475</v>
      </c>
      <c r="B214" s="32">
        <f>(B213*2*VOUT/Dc_VIN_min)*(((VOUT/VIN_min)-1)/((2*VOUT/VIN_min)-1))</f>
        <v>1031.2457471747653</v>
      </c>
      <c r="C214" s="32" t="s">
        <v>147</v>
      </c>
    </row>
    <row r="215" spans="1:5" s="32" customFormat="1" x14ac:dyDescent="0.3">
      <c r="A215" s="32" t="s">
        <v>477</v>
      </c>
      <c r="B215" s="32">
        <f>(IOUT*((2*VOUT)-VIN_min))/(Cout*VOUT*(VOUT-VIN_min))</f>
        <v>7532.956685499058</v>
      </c>
      <c r="C215" s="32" t="s">
        <v>392</v>
      </c>
    </row>
    <row r="216" spans="1:5" s="32" customFormat="1" x14ac:dyDescent="0.3">
      <c r="B216" s="32">
        <f>B215/(2*PI())</f>
        <v>1198.9072925943151</v>
      </c>
      <c r="C216" s="32" t="s">
        <v>67</v>
      </c>
    </row>
    <row r="217" spans="1:5" s="32" customFormat="1" x14ac:dyDescent="0.3">
      <c r="A217" s="32" t="s">
        <v>478</v>
      </c>
      <c r="B217" s="32">
        <f>1/(Cout*Resr)</f>
        <v>564971.75141242938</v>
      </c>
      <c r="C217" s="32" t="s">
        <v>392</v>
      </c>
    </row>
    <row r="218" spans="1:5" s="32" customFormat="1" x14ac:dyDescent="0.3">
      <c r="B218" s="32">
        <f>B217/(2*PI())</f>
        <v>89918.046944573638</v>
      </c>
      <c r="C218" s="32" t="s">
        <v>67</v>
      </c>
    </row>
    <row r="219" spans="1:5" s="32" customFormat="1" x14ac:dyDescent="0.3">
      <c r="A219" s="32" t="s">
        <v>479</v>
      </c>
      <c r="B219" s="32">
        <f>2*Fsw/(Dc_VIN_min)</f>
        <v>3333333.3333333335</v>
      </c>
      <c r="C219" s="32" t="s">
        <v>392</v>
      </c>
      <c r="E219" s="32" t="s">
        <v>499</v>
      </c>
    </row>
    <row r="220" spans="1:5" s="32" customFormat="1" x14ac:dyDescent="0.3">
      <c r="B220" s="32">
        <f>B219/(2*PI())</f>
        <v>530516.4769729845</v>
      </c>
      <c r="C220" s="32" t="s">
        <v>67</v>
      </c>
    </row>
    <row r="221" spans="1:5" s="32" customFormat="1" x14ac:dyDescent="0.3"/>
    <row r="222" spans="1:5" s="32" customFormat="1" x14ac:dyDescent="0.3">
      <c r="A222" s="32" t="s">
        <v>480</v>
      </c>
      <c r="B222" s="32">
        <f>2*Fsw/(2*PI()*Dc_VIN_min*5)</f>
        <v>106103.29539459689</v>
      </c>
      <c r="C222" s="32" t="s">
        <v>67</v>
      </c>
      <c r="E222" s="32" t="s">
        <v>482</v>
      </c>
    </row>
    <row r="223" spans="1:5" s="32" customFormat="1" x14ac:dyDescent="0.3">
      <c r="B223" s="32">
        <f>20*LOG(Gcomp*B214*(B215/(2*PI())))</f>
        <v>105.07031549336313</v>
      </c>
      <c r="E223" s="32" t="s">
        <v>481</v>
      </c>
    </row>
    <row r="224" spans="1:5" s="32" customFormat="1" x14ac:dyDescent="0.3">
      <c r="A224" s="32" t="s">
        <v>254</v>
      </c>
      <c r="B224" s="3">
        <f>fcross</f>
        <v>3500</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117.13954156953584</v>
      </c>
      <c r="C227" s="32" t="s">
        <v>490</v>
      </c>
      <c r="E227" s="32" t="s">
        <v>260</v>
      </c>
    </row>
    <row r="228" spans="1:5" s="32" customFormat="1" x14ac:dyDescent="0.3">
      <c r="A228" s="32" t="s">
        <v>491</v>
      </c>
      <c r="B228" s="32">
        <f>1/(2*PI()*SQRT(fcross*(B215/(2*PI())))*B227)</f>
        <v>6.6326913565953323E-7</v>
      </c>
      <c r="C228" s="32" t="s">
        <v>158</v>
      </c>
      <c r="E228" s="32" t="s">
        <v>487</v>
      </c>
    </row>
    <row r="229" spans="1:5" s="32" customFormat="1" x14ac:dyDescent="0.3">
      <c r="A229" s="32" t="s">
        <v>492</v>
      </c>
      <c r="B229" s="32">
        <f>B228/((2*PI()*B228*B227*(B219/(2*PI())))-1)</f>
        <v>2.5709752756804118E-9</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3215.2513755938467</v>
      </c>
      <c r="C232" s="32" t="s">
        <v>67</v>
      </c>
      <c r="E232" s="32" t="s">
        <v>484</v>
      </c>
    </row>
    <row r="233" spans="1:5" s="32" customFormat="1" x14ac:dyDescent="0.3">
      <c r="A233" s="32" t="s">
        <v>254</v>
      </c>
      <c r="B233" s="3">
        <f>'Design Converter'!H68*1000</f>
        <v>3500</v>
      </c>
      <c r="C233" s="32" t="s">
        <v>67</v>
      </c>
      <c r="E233" s="32" t="s">
        <v>255</v>
      </c>
    </row>
    <row r="234" spans="1:5" s="32" customFormat="1" x14ac:dyDescent="0.3"/>
    <row r="235" spans="1:5" s="32" customFormat="1" x14ac:dyDescent="0.3">
      <c r="A235" s="32" t="s">
        <v>259</v>
      </c>
      <c r="B235" s="32">
        <f>IF(B52=0,RCOMP_CALC_DCM,Rcomp_calc_CCM)</f>
        <v>3221.3241085222794</v>
      </c>
    </row>
    <row r="236" spans="1:5" s="32" customFormat="1" x14ac:dyDescent="0.3">
      <c r="A236" t="s">
        <v>176</v>
      </c>
      <c r="B236" s="3">
        <f>'Design Converter'!H71*1000</f>
        <v>4270</v>
      </c>
      <c r="C236" s="2" t="s">
        <v>36</v>
      </c>
      <c r="D236"/>
      <c r="E236" t="s">
        <v>183</v>
      </c>
    </row>
    <row r="237" spans="1:5" s="32" customFormat="1" x14ac:dyDescent="0.3">
      <c r="A237" s="32" t="s">
        <v>262</v>
      </c>
      <c r="B237" s="32">
        <f>IF(B52=0,CCOMP_CALC_DCM,CCOMP_calc_CCM)</f>
        <v>3.8135451275584967E-8</v>
      </c>
    </row>
    <row r="238" spans="1:5" s="32" customFormat="1" x14ac:dyDescent="0.3">
      <c r="A238" t="s">
        <v>181</v>
      </c>
      <c r="B238" s="3">
        <f>'Design Converter'!H72*(10^-9)</f>
        <v>3.6000000000000005E-8</v>
      </c>
      <c r="C238" t="s">
        <v>158</v>
      </c>
      <c r="D238"/>
      <c r="E238" t="s">
        <v>184</v>
      </c>
    </row>
    <row r="239" spans="1:5" s="32" customFormat="1" x14ac:dyDescent="0.3">
      <c r="A239" s="32" t="s">
        <v>496</v>
      </c>
      <c r="B239" s="32">
        <f>IF(B52=0,CHF_CALC_DCM,CHF_CALC_CCM)</f>
        <v>2.5610586585106233E-9</v>
      </c>
    </row>
    <row r="240" spans="1:5" s="32" customFormat="1" x14ac:dyDescent="0.3">
      <c r="A240" t="s">
        <v>182</v>
      </c>
      <c r="B240" s="3">
        <f>'Design Converter'!H73*(10^-12)</f>
        <v>2.0000000000000001E-9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6.5000000000000002E-2</v>
      </c>
      <c r="C245" t="s">
        <v>10</v>
      </c>
      <c r="E245" t="s">
        <v>322</v>
      </c>
    </row>
    <row r="246" spans="1:5" x14ac:dyDescent="0.3">
      <c r="A246" t="s">
        <v>352</v>
      </c>
      <c r="B246">
        <f>'Design Converter'!H89*(10^-9)</f>
        <v>1.6E-7</v>
      </c>
      <c r="C246" t="s">
        <v>350</v>
      </c>
      <c r="E246" t="s">
        <v>351</v>
      </c>
    </row>
    <row r="248" spans="1:5" s="32" customFormat="1" x14ac:dyDescent="0.3"/>
    <row r="249" spans="1:5" x14ac:dyDescent="0.3">
      <c r="A249" s="44" t="s">
        <v>342</v>
      </c>
    </row>
    <row r="250" spans="1:5" ht="15.6" x14ac:dyDescent="0.35">
      <c r="A250" t="s">
        <v>353</v>
      </c>
      <c r="B250" s="3">
        <f>'Design Converter'!H78*(10^-3)</f>
        <v>5.0000000000000001E-3</v>
      </c>
      <c r="C250" s="2" t="s">
        <v>36</v>
      </c>
      <c r="E250" s="102" t="s">
        <v>328</v>
      </c>
    </row>
    <row r="251" spans="1:5" ht="15.6" x14ac:dyDescent="0.35">
      <c r="A251" t="s">
        <v>343</v>
      </c>
      <c r="B251" s="3">
        <f>'Design Converter'!H79*(10^-9)</f>
        <v>1.8000000000000002E-8</v>
      </c>
      <c r="C251" t="s">
        <v>158</v>
      </c>
      <c r="E251" s="102" t="s">
        <v>329</v>
      </c>
    </row>
    <row r="252" spans="1:5" ht="15.6" x14ac:dyDescent="0.35">
      <c r="A252" t="s">
        <v>345</v>
      </c>
      <c r="B252" s="3">
        <f>'Design Converter'!H80*(10^-9)</f>
        <v>5.9000000000000007E-9</v>
      </c>
      <c r="C252" t="s">
        <v>158</v>
      </c>
      <c r="E252" s="102" t="s">
        <v>330</v>
      </c>
    </row>
    <row r="253" spans="1:5" ht="15.6" x14ac:dyDescent="0.35">
      <c r="A253" t="s">
        <v>344</v>
      </c>
      <c r="B253" s="3">
        <f>'Design Converter'!H81*(10^-9)</f>
        <v>7.4000000000000009E-9</v>
      </c>
      <c r="C253" t="s">
        <v>158</v>
      </c>
      <c r="E253" s="102" t="s">
        <v>331</v>
      </c>
    </row>
    <row r="254" spans="1:5" ht="15.6" x14ac:dyDescent="0.35">
      <c r="A254" t="s">
        <v>346</v>
      </c>
      <c r="B254" s="3">
        <f>'Design Converter'!H82</f>
        <v>2</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1.77</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2.17</v>
      </c>
      <c r="C261" s="2" t="s">
        <v>10</v>
      </c>
      <c r="E261" s="102" t="s">
        <v>357</v>
      </c>
    </row>
    <row r="262" spans="1:8" x14ac:dyDescent="0.3">
      <c r="A262" t="s">
        <v>365</v>
      </c>
      <c r="B262" s="1">
        <f>(Qgd+(Qgs/2))*((Rgate+B255)/(Vcc-B261))</f>
        <v>7.3362445414847171E-9</v>
      </c>
      <c r="C262" s="2" t="s">
        <v>52</v>
      </c>
      <c r="E262" s="102" t="s">
        <v>358</v>
      </c>
    </row>
    <row r="263" spans="1:8" ht="15" thickBot="1" x14ac:dyDescent="0.35">
      <c r="A263" t="s">
        <v>366</v>
      </c>
      <c r="B263" s="38">
        <f>(Qgd+(Qgs/2))*((B255+Rgate)/B261)</f>
        <v>1.5483870967741938E-8</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88671875" style="32"/>
    <col min="21" max="21" width="8.88671875" style="32"/>
    <col min="24" max="24" width="8.88671875" style="32"/>
    <col min="25" max="25" width="12" bestFit="1" customWidth="1"/>
    <col min="28" max="28" width="8.88671875" style="32"/>
    <col min="30" max="30" width="8.88671875" style="32"/>
    <col min="35" max="35" width="8.88671875" style="32"/>
    <col min="39" max="39" width="11" bestFit="1" customWidth="1"/>
    <col min="42" max="43" width="8.886718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12</v>
      </c>
      <c r="S7" s="96">
        <f t="shared" ref="S7:S38" si="1">Q7*$O$12</f>
        <v>0</v>
      </c>
      <c r="T7" s="96">
        <f t="shared" ref="T7:T70" si="2">VIN_var</f>
        <v>18</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4.8104000000000005</v>
      </c>
      <c r="AN7" s="98">
        <f>AL7+AM7</f>
        <v>4.8104000000000005</v>
      </c>
      <c r="AO7" s="97">
        <f t="shared" ref="AO7:AO38" si="15">(AF7^2)*R_cs</f>
        <v>0</v>
      </c>
      <c r="AP7" s="96">
        <f t="shared" ref="AP7:AP70" si="16">Qg_tot*Vcc*Fsw</f>
        <v>0.12150000000000002</v>
      </c>
      <c r="AQ7" s="98">
        <f t="shared" ref="AQ7" si="17">IQ*T7</f>
        <v>8.0999999999999996E-3</v>
      </c>
      <c r="AR7" s="97">
        <f>AO7+AN7+AI7+AP7+AQ7</f>
        <v>4.9400000000000004</v>
      </c>
      <c r="AS7" s="96">
        <f>R7*S7</f>
        <v>0</v>
      </c>
      <c r="AT7" s="98">
        <f>(AS7/(AS7+AR7))*100</f>
        <v>0</v>
      </c>
    </row>
    <row r="8" spans="1:46" x14ac:dyDescent="0.3">
      <c r="M8">
        <f>Fsw</f>
        <v>1000000</v>
      </c>
      <c r="Q8">
        <v>1</v>
      </c>
      <c r="R8" s="97">
        <f t="shared" si="0"/>
        <v>12</v>
      </c>
      <c r="S8" s="96">
        <f t="shared" si="1"/>
        <v>5.3333333333333337E-2</v>
      </c>
      <c r="T8" s="96">
        <f t="shared" si="2"/>
        <v>18</v>
      </c>
      <c r="U8" s="98">
        <f t="shared" si="3"/>
        <v>3.5555555555555556E-2</v>
      </c>
      <c r="V8" s="97">
        <f t="shared" si="4"/>
        <v>1</v>
      </c>
      <c r="W8" s="96">
        <f t="shared" si="5"/>
        <v>0.11417984514369005</v>
      </c>
      <c r="X8" s="98">
        <f t="shared" si="6"/>
        <v>0.19571421215997953</v>
      </c>
      <c r="Y8" s="97">
        <f t="shared" ref="Y8:Y71" si="18">(T8*W8)/(Lm*Fsw)</f>
        <v>0.62279915532921848</v>
      </c>
      <c r="Z8" s="96">
        <f t="shared" si="8"/>
        <v>0.71168804421810739</v>
      </c>
      <c r="AA8" s="96">
        <f t="shared" ref="AA8:AA71" si="19">CHOOSE(V8,Z8*SQRT((W8+X8)/3),SQRT((U8^2)+((Y8^2)/12)))</f>
        <v>0.22873660284671518</v>
      </c>
      <c r="AB8" s="96">
        <v>0</v>
      </c>
      <c r="AC8" s="96">
        <f t="shared" ref="AC8:AC71" si="20">(AA8^2)*Rdcr</f>
        <v>5.2320433481855915E-4</v>
      </c>
      <c r="AD8" s="98">
        <f t="shared" ref="AD8:AD71" si="21">AB8+AC8</f>
        <v>5.2320433481855915E-4</v>
      </c>
      <c r="AE8" s="97">
        <f t="shared" ref="AE8:AE71" si="22">U8*S8*W8</f>
        <v>2.165188174576641E-4</v>
      </c>
      <c r="AF8" s="96">
        <f t="shared" ref="AF8:AF71" si="23">AA8</f>
        <v>0.22873660284671518</v>
      </c>
      <c r="AG8" s="96">
        <f t="shared" si="10"/>
        <v>2.6160216740927957E-4</v>
      </c>
      <c r="AH8" s="96">
        <f t="shared" si="11"/>
        <v>3.0426820678968874E-2</v>
      </c>
      <c r="AI8" s="98">
        <f t="shared" ref="AI8:AI71" si="24">AG8+AH8</f>
        <v>3.0688422846378155E-2</v>
      </c>
      <c r="AJ8" s="97">
        <f t="shared" ref="AJ8:AJ71" si="25">S8</f>
        <v>5.3333333333333337E-2</v>
      </c>
      <c r="AK8" s="96">
        <f t="shared" ref="AK8:AK71" si="26">CHOOSE(V8,Z8*SQRT(X8/3),SQRT(X8*((Z8^2)+((Y8^2)/3)-(Y8*Z8))))</f>
        <v>0.18177754120810832</v>
      </c>
      <c r="AL8" s="96">
        <f t="shared" ref="AL8:AL71" si="27">S8*Vd_rect</f>
        <v>3.4666666666666669E-3</v>
      </c>
      <c r="AM8" s="96">
        <f t="shared" si="14"/>
        <v>4.8104000000000005</v>
      </c>
      <c r="AN8" s="98">
        <f t="shared" ref="AN8:AN71" si="28">AL8+AM8</f>
        <v>4.8138666666666667</v>
      </c>
      <c r="AO8" s="97">
        <f t="shared" si="15"/>
        <v>2.0928173392742363E-4</v>
      </c>
      <c r="AP8" s="96">
        <f t="shared" si="16"/>
        <v>0.12150000000000002</v>
      </c>
      <c r="AQ8" s="98">
        <f t="shared" ref="AQ8:AQ71" si="29">IQ*T8</f>
        <v>8.0999999999999996E-3</v>
      </c>
      <c r="AR8" s="97">
        <f t="shared" ref="AR8:AR71" si="30">AO8+AN8+AI8+AP8+AQ8</f>
        <v>4.9743643712469723</v>
      </c>
      <c r="AS8" s="96">
        <f t="shared" ref="AS8:AS71" si="31">R8*S8</f>
        <v>0.64</v>
      </c>
      <c r="AT8" s="98">
        <f t="shared" ref="AT8:AT71" si="32">(AS8/(AS8+AR8))*100</f>
        <v>11.399331387853147</v>
      </c>
    </row>
    <row r="9" spans="1:46" x14ac:dyDescent="0.3">
      <c r="N9" s="96" t="s">
        <v>195</v>
      </c>
      <c r="O9" s="96">
        <f>VIN_var</f>
        <v>18</v>
      </c>
      <c r="P9" t="s">
        <v>10</v>
      </c>
      <c r="Q9">
        <v>2</v>
      </c>
      <c r="R9" s="97">
        <f t="shared" si="0"/>
        <v>12</v>
      </c>
      <c r="S9" s="96">
        <f t="shared" si="1"/>
        <v>0.10666666666666667</v>
      </c>
      <c r="T9" s="96">
        <f t="shared" si="2"/>
        <v>18</v>
      </c>
      <c r="U9" s="98">
        <f t="shared" si="3"/>
        <v>7.1111111111111111E-2</v>
      </c>
      <c r="V9" s="97">
        <f t="shared" si="4"/>
        <v>1</v>
      </c>
      <c r="W9" s="96">
        <f t="shared" si="5"/>
        <v>0.16147468555186623</v>
      </c>
      <c r="X9" s="98">
        <f t="shared" si="6"/>
        <v>0.29110091721668824</v>
      </c>
      <c r="Y9" s="97">
        <f t="shared" si="18"/>
        <v>0.88077101210108855</v>
      </c>
      <c r="Z9" s="96">
        <f t="shared" si="8"/>
        <v>1.0585487898788664</v>
      </c>
      <c r="AA9" s="96">
        <f t="shared" si="19"/>
        <v>0.41114576568973382</v>
      </c>
      <c r="AB9" s="96">
        <v>0</v>
      </c>
      <c r="AC9" s="96">
        <f t="shared" si="20"/>
        <v>1.6904084064459752E-3</v>
      </c>
      <c r="AD9" s="98">
        <f t="shared" si="21"/>
        <v>1.6904084064459752E-3</v>
      </c>
      <c r="AE9" s="97">
        <f t="shared" si="22"/>
        <v>1.224815392630452E-3</v>
      </c>
      <c r="AF9" s="96">
        <f t="shared" si="23"/>
        <v>0.41114576568973382</v>
      </c>
      <c r="AG9" s="96">
        <f t="shared" si="10"/>
        <v>8.452042032229876E-4</v>
      </c>
      <c r="AH9" s="96">
        <f t="shared" si="11"/>
        <v>6.0853641357937749E-2</v>
      </c>
      <c r="AI9" s="98">
        <f t="shared" si="24"/>
        <v>6.1698845561160738E-2</v>
      </c>
      <c r="AJ9" s="97">
        <f t="shared" si="25"/>
        <v>0.10666666666666667</v>
      </c>
      <c r="AK9" s="96">
        <f t="shared" si="26"/>
        <v>0.32974030823260414</v>
      </c>
      <c r="AL9" s="96">
        <f t="shared" si="27"/>
        <v>6.9333333333333339E-3</v>
      </c>
      <c r="AM9" s="96">
        <f t="shared" si="14"/>
        <v>4.8104000000000005</v>
      </c>
      <c r="AN9" s="98">
        <f t="shared" si="28"/>
        <v>4.8173333333333339</v>
      </c>
      <c r="AO9" s="97">
        <f t="shared" si="15"/>
        <v>6.7616336257839008E-4</v>
      </c>
      <c r="AP9" s="96">
        <f t="shared" si="16"/>
        <v>0.12150000000000002</v>
      </c>
      <c r="AQ9" s="98">
        <f t="shared" si="29"/>
        <v>8.0999999999999996E-3</v>
      </c>
      <c r="AR9" s="97">
        <f t="shared" si="30"/>
        <v>5.0093083422570723</v>
      </c>
      <c r="AS9" s="96">
        <f t="shared" si="31"/>
        <v>1.28</v>
      </c>
      <c r="AT9" s="98">
        <f t="shared" si="32"/>
        <v>20.351999462323082</v>
      </c>
    </row>
    <row r="10" spans="1:46" x14ac:dyDescent="0.3">
      <c r="N10" s="96"/>
      <c r="O10" s="96"/>
      <c r="Q10">
        <v>3</v>
      </c>
      <c r="R10" s="97">
        <f t="shared" si="0"/>
        <v>12</v>
      </c>
      <c r="S10" s="96">
        <f t="shared" si="1"/>
        <v>0.16</v>
      </c>
      <c r="T10" s="96">
        <f t="shared" si="2"/>
        <v>18</v>
      </c>
      <c r="U10" s="98">
        <f t="shared" si="3"/>
        <v>0.10666666666666666</v>
      </c>
      <c r="V10" s="97">
        <f t="shared" si="4"/>
        <v>1</v>
      </c>
      <c r="W10" s="96">
        <f t="shared" si="5"/>
        <v>0.19776529298921769</v>
      </c>
      <c r="X10" s="98">
        <f t="shared" si="6"/>
        <v>0.36998127281715981</v>
      </c>
      <c r="Y10" s="97">
        <f t="shared" si="18"/>
        <v>1.0787197799411874</v>
      </c>
      <c r="Z10" s="96">
        <f t="shared" si="8"/>
        <v>1.345386446607854</v>
      </c>
      <c r="AA10" s="96">
        <f t="shared" si="19"/>
        <v>0.58527999340527981</v>
      </c>
      <c r="AB10" s="96">
        <v>0</v>
      </c>
      <c r="AC10" s="96">
        <f t="shared" si="20"/>
        <v>3.4255267068048442E-3</v>
      </c>
      <c r="AD10" s="98">
        <f t="shared" si="21"/>
        <v>3.4255267068048442E-3</v>
      </c>
      <c r="AE10" s="97">
        <f t="shared" si="22"/>
        <v>3.3751943336826486E-3</v>
      </c>
      <c r="AF10" s="96">
        <f t="shared" si="23"/>
        <v>0.58527999340527981</v>
      </c>
      <c r="AG10" s="96">
        <f t="shared" si="10"/>
        <v>1.7127633534024221E-3</v>
      </c>
      <c r="AH10" s="96">
        <f t="shared" si="11"/>
        <v>9.1280462036906623E-2</v>
      </c>
      <c r="AI10" s="98">
        <f t="shared" si="24"/>
        <v>9.2993225390309048E-2</v>
      </c>
      <c r="AJ10" s="97">
        <f t="shared" si="25"/>
        <v>0.16</v>
      </c>
      <c r="AK10" s="96">
        <f t="shared" si="26"/>
        <v>0.4724722348641397</v>
      </c>
      <c r="AL10" s="96">
        <f t="shared" si="27"/>
        <v>1.0400000000000001E-2</v>
      </c>
      <c r="AM10" s="96">
        <f t="shared" si="14"/>
        <v>4.8104000000000005</v>
      </c>
      <c r="AN10" s="98">
        <f t="shared" si="28"/>
        <v>4.8208000000000002</v>
      </c>
      <c r="AO10" s="97">
        <f t="shared" si="15"/>
        <v>1.3702106827219375E-3</v>
      </c>
      <c r="AP10" s="96">
        <f t="shared" si="16"/>
        <v>0.12150000000000002</v>
      </c>
      <c r="AQ10" s="98">
        <f t="shared" si="29"/>
        <v>8.0999999999999996E-3</v>
      </c>
      <c r="AR10" s="97">
        <f t="shared" si="30"/>
        <v>5.0447634360730307</v>
      </c>
      <c r="AS10" s="96">
        <f t="shared" si="31"/>
        <v>1.92</v>
      </c>
      <c r="AT10" s="98">
        <f t="shared" si="32"/>
        <v>27.567339761399861</v>
      </c>
    </row>
    <row r="11" spans="1:46" x14ac:dyDescent="0.3">
      <c r="N11" s="96" t="s">
        <v>270</v>
      </c>
      <c r="O11" s="96">
        <v>150</v>
      </c>
      <c r="Q11">
        <v>4</v>
      </c>
      <c r="R11" s="97">
        <f t="shared" si="0"/>
        <v>12</v>
      </c>
      <c r="S11" s="96">
        <f t="shared" si="1"/>
        <v>0.21333333333333335</v>
      </c>
      <c r="T11" s="96">
        <f t="shared" si="2"/>
        <v>18</v>
      </c>
      <c r="U11" s="98">
        <f t="shared" si="3"/>
        <v>0.14222222222222222</v>
      </c>
      <c r="V11" s="97">
        <f t="shared" si="4"/>
        <v>1</v>
      </c>
      <c r="W11" s="96">
        <f t="shared" si="5"/>
        <v>0.2283596902873801</v>
      </c>
      <c r="X11" s="98">
        <f t="shared" si="6"/>
        <v>0.44031731320884787</v>
      </c>
      <c r="Y11" s="97">
        <f t="shared" si="18"/>
        <v>1.245598310658437</v>
      </c>
      <c r="Z11" s="96">
        <f t="shared" si="8"/>
        <v>1.6011538662139926</v>
      </c>
      <c r="AA11" s="96">
        <f t="shared" si="19"/>
        <v>0.75592835273356718</v>
      </c>
      <c r="AB11" s="96">
        <v>0</v>
      </c>
      <c r="AC11" s="96">
        <f t="shared" si="20"/>
        <v>5.7142767446648436E-3</v>
      </c>
      <c r="AD11" s="98">
        <f t="shared" si="21"/>
        <v>5.7142767446648436E-3</v>
      </c>
      <c r="AE11" s="97">
        <f t="shared" si="22"/>
        <v>6.9286021586452513E-3</v>
      </c>
      <c r="AF11" s="96">
        <f t="shared" si="23"/>
        <v>0.75592835273356718</v>
      </c>
      <c r="AG11" s="96">
        <f t="shared" si="10"/>
        <v>2.8571383723324218E-3</v>
      </c>
      <c r="AH11" s="96">
        <f t="shared" si="11"/>
        <v>0.1217072827158755</v>
      </c>
      <c r="AI11" s="98">
        <f t="shared" si="24"/>
        <v>0.12456442108820792</v>
      </c>
      <c r="AJ11" s="97">
        <f t="shared" si="25"/>
        <v>0.21333333333333335</v>
      </c>
      <c r="AK11" s="96">
        <f t="shared" si="26"/>
        <v>0.61341631413040143</v>
      </c>
      <c r="AL11" s="96">
        <f t="shared" si="27"/>
        <v>1.3866666666666668E-2</v>
      </c>
      <c r="AM11" s="96">
        <f t="shared" si="14"/>
        <v>4.8104000000000005</v>
      </c>
      <c r="AN11" s="98">
        <f t="shared" si="28"/>
        <v>4.8242666666666674</v>
      </c>
      <c r="AO11" s="97">
        <f t="shared" si="15"/>
        <v>2.2857106978659376E-3</v>
      </c>
      <c r="AP11" s="96">
        <f t="shared" si="16"/>
        <v>0.12150000000000002</v>
      </c>
      <c r="AQ11" s="98">
        <f t="shared" si="29"/>
        <v>8.0999999999999996E-3</v>
      </c>
      <c r="AR11" s="97">
        <f t="shared" si="30"/>
        <v>5.080716798452741</v>
      </c>
      <c r="AS11" s="96">
        <f t="shared" si="31"/>
        <v>2.56</v>
      </c>
      <c r="AT11" s="98">
        <f t="shared" si="32"/>
        <v>33.504709931382415</v>
      </c>
    </row>
    <row r="12" spans="1:46" x14ac:dyDescent="0.3">
      <c r="N12" s="96" t="s">
        <v>271</v>
      </c>
      <c r="O12" s="96">
        <f>IOUT/(O11)</f>
        <v>5.3333333333333337E-2</v>
      </c>
      <c r="Q12">
        <v>5</v>
      </c>
      <c r="R12" s="97">
        <f t="shared" si="0"/>
        <v>12</v>
      </c>
      <c r="S12" s="96">
        <f t="shared" si="1"/>
        <v>0.26666666666666666</v>
      </c>
      <c r="T12" s="96">
        <f t="shared" si="2"/>
        <v>18</v>
      </c>
      <c r="U12" s="98">
        <f t="shared" si="3"/>
        <v>0.17777777777777778</v>
      </c>
      <c r="V12" s="97">
        <f t="shared" si="4"/>
        <v>1</v>
      </c>
      <c r="W12" s="96">
        <f t="shared" si="5"/>
        <v>0.25531389540169014</v>
      </c>
      <c r="X12" s="98">
        <f t="shared" si="6"/>
        <v>0.5051930653247575</v>
      </c>
      <c r="Y12" s="97">
        <f t="shared" si="18"/>
        <v>1.3926212476455828</v>
      </c>
      <c r="Z12" s="96">
        <f t="shared" si="8"/>
        <v>1.8370656920900272</v>
      </c>
      <c r="AA12" s="96">
        <f t="shared" si="19"/>
        <v>0.92494446097615945</v>
      </c>
      <c r="AB12" s="96">
        <v>0</v>
      </c>
      <c r="AC12" s="96">
        <f t="shared" si="20"/>
        <v>8.5552225589047813E-3</v>
      </c>
      <c r="AD12" s="98">
        <f t="shared" si="21"/>
        <v>8.5552225589047813E-3</v>
      </c>
      <c r="AE12" s="97">
        <f t="shared" si="22"/>
        <v>1.2103769856080126E-2</v>
      </c>
      <c r="AF12" s="96">
        <f t="shared" si="23"/>
        <v>0.92494446097615945</v>
      </c>
      <c r="AG12" s="96">
        <f t="shared" si="10"/>
        <v>4.2776112794523907E-3</v>
      </c>
      <c r="AH12" s="96">
        <f t="shared" si="11"/>
        <v>0.15213410339484434</v>
      </c>
      <c r="AI12" s="98">
        <f t="shared" si="24"/>
        <v>0.15641171467429674</v>
      </c>
      <c r="AJ12" s="97">
        <f t="shared" si="25"/>
        <v>0.26666666666666666</v>
      </c>
      <c r="AK12" s="96">
        <f t="shared" si="26"/>
        <v>0.75386355732098642</v>
      </c>
      <c r="AL12" s="96">
        <f t="shared" si="27"/>
        <v>1.7333333333333333E-2</v>
      </c>
      <c r="AM12" s="96">
        <f t="shared" si="14"/>
        <v>4.8104000000000005</v>
      </c>
      <c r="AN12" s="98">
        <f t="shared" si="28"/>
        <v>4.8277333333333337</v>
      </c>
      <c r="AO12" s="97">
        <f t="shared" si="15"/>
        <v>3.4220890235619125E-3</v>
      </c>
      <c r="AP12" s="96">
        <f t="shared" si="16"/>
        <v>0.12150000000000002</v>
      </c>
      <c r="AQ12" s="98">
        <f t="shared" si="29"/>
        <v>8.0999999999999996E-3</v>
      </c>
      <c r="AR12" s="97">
        <f t="shared" si="30"/>
        <v>5.1171671370311929</v>
      </c>
      <c r="AS12" s="96">
        <f t="shared" si="31"/>
        <v>3.2</v>
      </c>
      <c r="AT12" s="98">
        <f t="shared" si="32"/>
        <v>38.474638627284314</v>
      </c>
    </row>
    <row r="13" spans="1:46" x14ac:dyDescent="0.3">
      <c r="Q13">
        <v>6</v>
      </c>
      <c r="R13" s="97">
        <f t="shared" si="0"/>
        <v>12</v>
      </c>
      <c r="S13" s="96">
        <f t="shared" si="1"/>
        <v>0.32</v>
      </c>
      <c r="T13" s="96">
        <f t="shared" si="2"/>
        <v>18</v>
      </c>
      <c r="U13" s="98">
        <f t="shared" si="3"/>
        <v>0.21333333333333332</v>
      </c>
      <c r="V13" s="97">
        <f t="shared" si="4"/>
        <v>1</v>
      </c>
      <c r="W13" s="96">
        <f t="shared" si="5"/>
        <v>0.2796823595120404</v>
      </c>
      <c r="X13" s="98">
        <f t="shared" si="6"/>
        <v>0.56619020593472713</v>
      </c>
      <c r="Y13" s="97">
        <f t="shared" si="18"/>
        <v>1.5255401427929476</v>
      </c>
      <c r="Z13" s="96">
        <f t="shared" si="8"/>
        <v>2.0588734761262808</v>
      </c>
      <c r="AA13" s="96">
        <f t="shared" si="19"/>
        <v>1.0932550727310466</v>
      </c>
      <c r="AB13" s="96">
        <v>0</v>
      </c>
      <c r="AC13" s="96">
        <f t="shared" si="20"/>
        <v>1.1952066540521659E-2</v>
      </c>
      <c r="AD13" s="98">
        <f t="shared" si="21"/>
        <v>1.1952066540521659E-2</v>
      </c>
      <c r="AE13" s="97">
        <f t="shared" si="22"/>
        <v>1.9092982409355291E-2</v>
      </c>
      <c r="AF13" s="96">
        <f t="shared" si="23"/>
        <v>1.0932550727310466</v>
      </c>
      <c r="AG13" s="96">
        <f t="shared" si="10"/>
        <v>5.9760332702608297E-3</v>
      </c>
      <c r="AH13" s="96">
        <f t="shared" si="11"/>
        <v>0.18256092407381325</v>
      </c>
      <c r="AI13" s="98">
        <f t="shared" si="24"/>
        <v>0.18853695734407408</v>
      </c>
      <c r="AJ13" s="97">
        <f t="shared" si="25"/>
        <v>0.32</v>
      </c>
      <c r="AK13" s="96">
        <f t="shared" si="26"/>
        <v>0.89443792966708346</v>
      </c>
      <c r="AL13" s="96">
        <f t="shared" si="27"/>
        <v>2.0800000000000003E-2</v>
      </c>
      <c r="AM13" s="96">
        <f t="shared" si="14"/>
        <v>4.8104000000000005</v>
      </c>
      <c r="AN13" s="98">
        <f t="shared" si="28"/>
        <v>4.8312000000000008</v>
      </c>
      <c r="AO13" s="97">
        <f t="shared" si="15"/>
        <v>4.7808266162086641E-3</v>
      </c>
      <c r="AP13" s="96">
        <f t="shared" si="16"/>
        <v>0.12150000000000002</v>
      </c>
      <c r="AQ13" s="98">
        <f t="shared" si="29"/>
        <v>8.0999999999999996E-3</v>
      </c>
      <c r="AR13" s="97">
        <f t="shared" si="30"/>
        <v>5.1541177839602836</v>
      </c>
      <c r="AS13" s="96">
        <f t="shared" si="31"/>
        <v>3.84</v>
      </c>
      <c r="AT13" s="98">
        <f t="shared" si="32"/>
        <v>42.69457096557138</v>
      </c>
    </row>
    <row r="14" spans="1:46" x14ac:dyDescent="0.3">
      <c r="Q14" s="32">
        <v>7</v>
      </c>
      <c r="R14" s="97">
        <f t="shared" si="0"/>
        <v>12</v>
      </c>
      <c r="S14" s="96">
        <f t="shared" si="1"/>
        <v>0.37333333333333335</v>
      </c>
      <c r="T14" s="96">
        <f t="shared" si="2"/>
        <v>18</v>
      </c>
      <c r="U14" s="98">
        <f t="shared" si="3"/>
        <v>0.24888888888888891</v>
      </c>
      <c r="V14" s="97">
        <f t="shared" si="4"/>
        <v>1</v>
      </c>
      <c r="W14" s="96">
        <f t="shared" si="5"/>
        <v>0.30209147498606986</v>
      </c>
      <c r="X14" s="98">
        <f t="shared" si="6"/>
        <v>0.62424832359021598</v>
      </c>
      <c r="Y14" s="97">
        <f t="shared" si="18"/>
        <v>1.6477716817421995</v>
      </c>
      <c r="Z14" s="96">
        <f t="shared" si="8"/>
        <v>2.2699939039644219</v>
      </c>
      <c r="AA14" s="96">
        <f t="shared" si="19"/>
        <v>1.2613895394546033</v>
      </c>
      <c r="AB14" s="96">
        <v>0</v>
      </c>
      <c r="AC14" s="96">
        <f t="shared" si="20"/>
        <v>1.5911035702454963E-2</v>
      </c>
      <c r="AD14" s="98">
        <f t="shared" si="21"/>
        <v>1.5911035702454963E-2</v>
      </c>
      <c r="AE14" s="97">
        <f t="shared" si="22"/>
        <v>2.8069892312779707E-2</v>
      </c>
      <c r="AF14" s="96">
        <f t="shared" si="23"/>
        <v>1.2613895394546033</v>
      </c>
      <c r="AG14" s="96">
        <f t="shared" si="10"/>
        <v>7.9555178512274814E-3</v>
      </c>
      <c r="AH14" s="96">
        <f t="shared" si="11"/>
        <v>0.21298774475278212</v>
      </c>
      <c r="AI14" s="98">
        <f t="shared" si="24"/>
        <v>0.22094326260400959</v>
      </c>
      <c r="AJ14" s="97">
        <f t="shared" si="25"/>
        <v>0.37333333333333335</v>
      </c>
      <c r="AK14" s="96">
        <f t="shared" si="26"/>
        <v>1.0354824817371637</v>
      </c>
      <c r="AL14" s="96">
        <f t="shared" si="27"/>
        <v>2.4266666666666669E-2</v>
      </c>
      <c r="AM14" s="96">
        <f t="shared" si="14"/>
        <v>4.8104000000000005</v>
      </c>
      <c r="AN14" s="98">
        <f t="shared" si="28"/>
        <v>4.8346666666666671</v>
      </c>
      <c r="AO14" s="97">
        <f t="shared" si="15"/>
        <v>6.3644142809819856E-3</v>
      </c>
      <c r="AP14" s="96">
        <f t="shared" si="16"/>
        <v>0.12150000000000002</v>
      </c>
      <c r="AQ14" s="98">
        <f t="shared" si="29"/>
        <v>8.0999999999999996E-3</v>
      </c>
      <c r="AR14" s="97">
        <f t="shared" si="30"/>
        <v>5.1915743435516584</v>
      </c>
      <c r="AS14" s="96">
        <f t="shared" si="31"/>
        <v>4.4800000000000004</v>
      </c>
      <c r="AT14" s="98">
        <f t="shared" si="32"/>
        <v>46.321310686992312</v>
      </c>
    </row>
    <row r="15" spans="1:46" x14ac:dyDescent="0.3">
      <c r="O15">
        <f>0.205*2.5/(Lm*Fsw)</f>
        <v>0.1553030303030303</v>
      </c>
      <c r="Q15" s="32">
        <v>8</v>
      </c>
      <c r="R15" s="97">
        <f t="shared" si="0"/>
        <v>12</v>
      </c>
      <c r="S15" s="96">
        <f t="shared" si="1"/>
        <v>0.42666666666666669</v>
      </c>
      <c r="T15" s="96">
        <f t="shared" si="2"/>
        <v>18</v>
      </c>
      <c r="U15" s="98">
        <f t="shared" si="3"/>
        <v>0.28444444444444444</v>
      </c>
      <c r="V15" s="97">
        <f t="shared" si="4"/>
        <v>1</v>
      </c>
      <c r="W15" s="96">
        <f t="shared" si="5"/>
        <v>0.32294937110373245</v>
      </c>
      <c r="X15" s="98">
        <f t="shared" si="6"/>
        <v>0.67997961221115422</v>
      </c>
      <c r="Y15" s="97">
        <f t="shared" si="18"/>
        <v>1.7615420242021771</v>
      </c>
      <c r="Z15" s="96">
        <f t="shared" si="8"/>
        <v>2.4726531353132883</v>
      </c>
      <c r="AA15" s="96">
        <f t="shared" si="19"/>
        <v>1.4296761138085197</v>
      </c>
      <c r="AB15" s="96">
        <v>0</v>
      </c>
      <c r="AC15" s="96">
        <f t="shared" si="20"/>
        <v>2.0439737903946313E-2</v>
      </c>
      <c r="AD15" s="98">
        <f t="shared" si="21"/>
        <v>2.0439737903946313E-2</v>
      </c>
      <c r="AE15" s="97">
        <f t="shared" si="22"/>
        <v>3.9194092564174464E-2</v>
      </c>
      <c r="AF15" s="96">
        <f t="shared" si="23"/>
        <v>1.4296761138085197</v>
      </c>
      <c r="AG15" s="96">
        <f t="shared" si="10"/>
        <v>1.0219868951973157E-2</v>
      </c>
      <c r="AH15" s="96">
        <f t="shared" si="11"/>
        <v>0.243414565431751</v>
      </c>
      <c r="AI15" s="98">
        <f t="shared" si="24"/>
        <v>0.25363443438372413</v>
      </c>
      <c r="AJ15" s="97">
        <f t="shared" si="25"/>
        <v>0.42666666666666669</v>
      </c>
      <c r="AK15" s="96">
        <f t="shared" si="26"/>
        <v>1.1772007117924499</v>
      </c>
      <c r="AL15" s="96">
        <f t="shared" si="27"/>
        <v>2.7733333333333336E-2</v>
      </c>
      <c r="AM15" s="96">
        <f t="shared" si="14"/>
        <v>4.8104000000000005</v>
      </c>
      <c r="AN15" s="98">
        <f t="shared" si="28"/>
        <v>4.8381333333333334</v>
      </c>
      <c r="AO15" s="97">
        <f t="shared" si="15"/>
        <v>8.1758951615785256E-3</v>
      </c>
      <c r="AP15" s="96">
        <f t="shared" si="16"/>
        <v>0.12150000000000002</v>
      </c>
      <c r="AQ15" s="98">
        <f t="shared" si="29"/>
        <v>8.0999999999999996E-3</v>
      </c>
      <c r="AR15" s="97">
        <f t="shared" si="30"/>
        <v>5.229543662878636</v>
      </c>
      <c r="AS15" s="96">
        <f t="shared" si="31"/>
        <v>5.12</v>
      </c>
      <c r="AT15" s="98">
        <f t="shared" si="32"/>
        <v>49.470780227385561</v>
      </c>
    </row>
    <row r="16" spans="1:46" x14ac:dyDescent="0.3">
      <c r="Q16" s="32">
        <v>9</v>
      </c>
      <c r="R16" s="97">
        <f t="shared" si="0"/>
        <v>12</v>
      </c>
      <c r="S16" s="96">
        <f t="shared" si="1"/>
        <v>0.48000000000000004</v>
      </c>
      <c r="T16" s="96">
        <f t="shared" si="2"/>
        <v>18</v>
      </c>
      <c r="U16" s="98">
        <f t="shared" si="3"/>
        <v>0.32000000000000006</v>
      </c>
      <c r="V16" s="97">
        <f t="shared" si="4"/>
        <v>1</v>
      </c>
      <c r="W16" s="96">
        <f t="shared" si="5"/>
        <v>0.34253953543107013</v>
      </c>
      <c r="X16" s="98">
        <f t="shared" si="6"/>
        <v>0.73380930314660509</v>
      </c>
      <c r="Y16" s="97">
        <f t="shared" si="18"/>
        <v>1.8683974659876552</v>
      </c>
      <c r="Z16" s="96">
        <f t="shared" si="8"/>
        <v>2.6683974659876553</v>
      </c>
      <c r="AA16" s="96">
        <f t="shared" si="19"/>
        <v>1.5983298689880023</v>
      </c>
      <c r="AB16" s="96">
        <v>0</v>
      </c>
      <c r="AC16" s="96">
        <f t="shared" si="20"/>
        <v>2.5546583700992047E-2</v>
      </c>
      <c r="AD16" s="98">
        <f t="shared" si="21"/>
        <v>2.5546583700992047E-2</v>
      </c>
      <c r="AE16" s="97">
        <f t="shared" si="22"/>
        <v>5.2614072642212385E-2</v>
      </c>
      <c r="AF16" s="96">
        <f t="shared" si="23"/>
        <v>1.5983298689880023</v>
      </c>
      <c r="AG16" s="96">
        <f t="shared" si="10"/>
        <v>1.2773291850496023E-2</v>
      </c>
      <c r="AH16" s="96">
        <f t="shared" si="11"/>
        <v>0.27384138611071984</v>
      </c>
      <c r="AI16" s="98">
        <f t="shared" si="24"/>
        <v>0.28661467796121587</v>
      </c>
      <c r="AJ16" s="97">
        <f t="shared" si="25"/>
        <v>0.48000000000000004</v>
      </c>
      <c r="AK16" s="96">
        <f t="shared" si="26"/>
        <v>1.3197190899821107</v>
      </c>
      <c r="AL16" s="96">
        <f t="shared" si="27"/>
        <v>3.1200000000000002E-2</v>
      </c>
      <c r="AM16" s="96">
        <f t="shared" si="14"/>
        <v>4.8104000000000005</v>
      </c>
      <c r="AN16" s="98">
        <f t="shared" si="28"/>
        <v>4.8416000000000006</v>
      </c>
      <c r="AO16" s="97">
        <f t="shared" si="15"/>
        <v>1.0218633480396817E-2</v>
      </c>
      <c r="AP16" s="96">
        <f t="shared" si="16"/>
        <v>0.12150000000000002</v>
      </c>
      <c r="AQ16" s="98">
        <f t="shared" si="29"/>
        <v>8.0999999999999996E-3</v>
      </c>
      <c r="AR16" s="97">
        <f t="shared" si="30"/>
        <v>5.2680333114416138</v>
      </c>
      <c r="AS16" s="96">
        <f t="shared" si="31"/>
        <v>5.7600000000000007</v>
      </c>
      <c r="AT16" s="98">
        <f t="shared" si="32"/>
        <v>52.230527758961202</v>
      </c>
    </row>
    <row r="17" spans="17:46" x14ac:dyDescent="0.3">
      <c r="Q17" s="32">
        <v>10</v>
      </c>
      <c r="R17" s="97">
        <f t="shared" si="0"/>
        <v>12</v>
      </c>
      <c r="S17" s="96">
        <f t="shared" si="1"/>
        <v>0.53333333333333333</v>
      </c>
      <c r="T17" s="96">
        <f t="shared" si="2"/>
        <v>18</v>
      </c>
      <c r="U17" s="98">
        <f t="shared" si="3"/>
        <v>0.35555555555555557</v>
      </c>
      <c r="V17" s="97">
        <f t="shared" si="4"/>
        <v>1</v>
      </c>
      <c r="W17" s="96">
        <f t="shared" si="5"/>
        <v>0.36106837353937604</v>
      </c>
      <c r="X17" s="98">
        <f t="shared" si="6"/>
        <v>0.7860470047535083</v>
      </c>
      <c r="Y17" s="97">
        <f t="shared" si="18"/>
        <v>1.9694638556693238</v>
      </c>
      <c r="Z17" s="96">
        <f t="shared" si="8"/>
        <v>2.8583527445582124</v>
      </c>
      <c r="AA17" s="96">
        <f t="shared" si="19"/>
        <v>1.7674972507667017</v>
      </c>
      <c r="AB17" s="96">
        <v>0</v>
      </c>
      <c r="AC17" s="96">
        <f t="shared" si="20"/>
        <v>3.1240465314678487E-2</v>
      </c>
      <c r="AD17" s="98">
        <f t="shared" si="21"/>
        <v>3.1240465314678487E-2</v>
      </c>
      <c r="AE17" s="97">
        <f t="shared" si="22"/>
        <v>6.846926194524465E-2</v>
      </c>
      <c r="AF17" s="96">
        <f t="shared" si="23"/>
        <v>1.7674972507667017</v>
      </c>
      <c r="AG17" s="96">
        <f t="shared" si="10"/>
        <v>1.5620232657339243E-2</v>
      </c>
      <c r="AH17" s="96">
        <f t="shared" si="11"/>
        <v>0.30426820678968869</v>
      </c>
      <c r="AI17" s="98">
        <f t="shared" si="24"/>
        <v>0.31988843944702794</v>
      </c>
      <c r="AJ17" s="97">
        <f t="shared" si="25"/>
        <v>0.53333333333333333</v>
      </c>
      <c r="AK17" s="96">
        <f t="shared" si="26"/>
        <v>1.463118341238175</v>
      </c>
      <c r="AL17" s="96">
        <f t="shared" si="27"/>
        <v>3.4666666666666665E-2</v>
      </c>
      <c r="AM17" s="96">
        <f t="shared" si="14"/>
        <v>4.8104000000000005</v>
      </c>
      <c r="AN17" s="98">
        <f t="shared" si="28"/>
        <v>4.8450666666666669</v>
      </c>
      <c r="AO17" s="97">
        <f t="shared" si="15"/>
        <v>1.2496186125871394E-2</v>
      </c>
      <c r="AP17" s="96">
        <f t="shared" si="16"/>
        <v>0.12150000000000002</v>
      </c>
      <c r="AQ17" s="98">
        <f t="shared" si="29"/>
        <v>8.0999999999999996E-3</v>
      </c>
      <c r="AR17" s="97">
        <f t="shared" si="30"/>
        <v>5.3070512922395663</v>
      </c>
      <c r="AS17" s="96">
        <f t="shared" si="31"/>
        <v>6.4</v>
      </c>
      <c r="AT17" s="98">
        <f t="shared" si="32"/>
        <v>54.66790774413424</v>
      </c>
    </row>
    <row r="18" spans="17:46" x14ac:dyDescent="0.3">
      <c r="Q18" s="32">
        <v>11</v>
      </c>
      <c r="R18" s="97">
        <f t="shared" si="0"/>
        <v>12</v>
      </c>
      <c r="S18" s="96">
        <f t="shared" si="1"/>
        <v>0.58666666666666667</v>
      </c>
      <c r="T18" s="96">
        <f t="shared" si="2"/>
        <v>18</v>
      </c>
      <c r="U18" s="98">
        <f t="shared" si="3"/>
        <v>0.39111111111111113</v>
      </c>
      <c r="V18" s="97">
        <f t="shared" si="4"/>
        <v>1</v>
      </c>
      <c r="W18" s="96">
        <f t="shared" si="5"/>
        <v>0.37869170496250298</v>
      </c>
      <c r="X18" s="98">
        <f t="shared" si="6"/>
        <v>0.83692644633264335</v>
      </c>
      <c r="Y18" s="97">
        <f t="shared" si="18"/>
        <v>2.0655911179772892</v>
      </c>
      <c r="Z18" s="96">
        <f t="shared" si="8"/>
        <v>3.0433688957550671</v>
      </c>
      <c r="AA18" s="96">
        <f t="shared" si="19"/>
        <v>1.937280729257858</v>
      </c>
      <c r="AB18" s="96">
        <v>0</v>
      </c>
      <c r="AC18" s="96">
        <f t="shared" si="20"/>
        <v>3.7530566239538578E-2</v>
      </c>
      <c r="AD18" s="98">
        <f t="shared" si="21"/>
        <v>3.7530566239538578E-2</v>
      </c>
      <c r="AE18" s="97">
        <f t="shared" si="22"/>
        <v>8.689151298458142E-2</v>
      </c>
      <c r="AF18" s="96">
        <f t="shared" si="23"/>
        <v>1.937280729257858</v>
      </c>
      <c r="AG18" s="96">
        <f t="shared" si="10"/>
        <v>1.8765283119769289E-2</v>
      </c>
      <c r="AH18" s="96">
        <f t="shared" si="11"/>
        <v>0.33469502746865765</v>
      </c>
      <c r="AI18" s="98">
        <f t="shared" si="24"/>
        <v>0.35346031058842692</v>
      </c>
      <c r="AJ18" s="97">
        <f t="shared" si="25"/>
        <v>0.58666666666666667</v>
      </c>
      <c r="AK18" s="96">
        <f t="shared" si="26"/>
        <v>1.6074505294865871</v>
      </c>
      <c r="AL18" s="96">
        <f t="shared" si="27"/>
        <v>3.8133333333333332E-2</v>
      </c>
      <c r="AM18" s="96">
        <f t="shared" si="14"/>
        <v>4.8104000000000005</v>
      </c>
      <c r="AN18" s="98">
        <f t="shared" si="28"/>
        <v>4.848533333333334</v>
      </c>
      <c r="AO18" s="97">
        <f t="shared" si="15"/>
        <v>1.5012226495815432E-2</v>
      </c>
      <c r="AP18" s="96">
        <f t="shared" si="16"/>
        <v>0.12150000000000002</v>
      </c>
      <c r="AQ18" s="98">
        <f t="shared" si="29"/>
        <v>8.0999999999999996E-3</v>
      </c>
      <c r="AR18" s="97">
        <f t="shared" si="30"/>
        <v>5.3466058704175765</v>
      </c>
      <c r="AS18" s="96">
        <f t="shared" si="31"/>
        <v>7.04</v>
      </c>
      <c r="AT18" s="98">
        <f t="shared" si="32"/>
        <v>56.83558574196136</v>
      </c>
    </row>
    <row r="19" spans="17:46" x14ac:dyDescent="0.3">
      <c r="Q19" s="32">
        <v>12</v>
      </c>
      <c r="R19" s="97">
        <f t="shared" si="0"/>
        <v>12</v>
      </c>
      <c r="S19" s="96">
        <f t="shared" si="1"/>
        <v>0.64</v>
      </c>
      <c r="T19" s="96">
        <f t="shared" si="2"/>
        <v>18</v>
      </c>
      <c r="U19" s="98">
        <f t="shared" si="3"/>
        <v>0.42666666666666664</v>
      </c>
      <c r="V19" s="97">
        <f t="shared" si="4"/>
        <v>1</v>
      </c>
      <c r="W19" s="96">
        <f t="shared" si="5"/>
        <v>0.39553058597843538</v>
      </c>
      <c r="X19" s="98">
        <f t="shared" si="6"/>
        <v>0.88662921230098635</v>
      </c>
      <c r="Y19" s="97">
        <f t="shared" si="18"/>
        <v>2.1574395598823748</v>
      </c>
      <c r="Z19" s="96">
        <f>U19+S19+(Y19)</f>
        <v>3.2241062265490417</v>
      </c>
      <c r="AA19" s="96">
        <f t="shared" si="19"/>
        <v>2.1077533720139821</v>
      </c>
      <c r="AB19" s="96">
        <v>0</v>
      </c>
      <c r="AC19" s="96">
        <f t="shared" si="20"/>
        <v>4.4426242772363116E-2</v>
      </c>
      <c r="AD19" s="98">
        <f t="shared" si="21"/>
        <v>4.4426242772363116E-2</v>
      </c>
      <c r="AE19" s="97">
        <f t="shared" si="22"/>
        <v>0.10800621867784475</v>
      </c>
      <c r="AF19" s="96">
        <f t="shared" si="23"/>
        <v>2.1077533720139821</v>
      </c>
      <c r="AG19" s="96">
        <f t="shared" si="10"/>
        <v>2.2213121386181558E-2</v>
      </c>
      <c r="AH19" s="96">
        <f t="shared" si="11"/>
        <v>0.36512184814762649</v>
      </c>
      <c r="AI19" s="98">
        <f t="shared" si="24"/>
        <v>0.38733496953380803</v>
      </c>
      <c r="AJ19" s="97">
        <f t="shared" si="25"/>
        <v>0.64</v>
      </c>
      <c r="AK19" s="96">
        <f t="shared" si="26"/>
        <v>1.7527490203493841</v>
      </c>
      <c r="AL19" s="96">
        <f t="shared" si="27"/>
        <v>4.1600000000000005E-2</v>
      </c>
      <c r="AM19" s="96">
        <f t="shared" si="14"/>
        <v>4.8104000000000005</v>
      </c>
      <c r="AN19" s="98">
        <f t="shared" si="28"/>
        <v>4.8520000000000003</v>
      </c>
      <c r="AO19" s="97">
        <f t="shared" si="15"/>
        <v>1.7770497108945248E-2</v>
      </c>
      <c r="AP19" s="96">
        <f t="shared" si="16"/>
        <v>0.12150000000000002</v>
      </c>
      <c r="AQ19" s="98">
        <f t="shared" si="29"/>
        <v>8.0999999999999996E-3</v>
      </c>
      <c r="AR19" s="97">
        <f t="shared" si="30"/>
        <v>5.3867054666427538</v>
      </c>
      <c r="AS19" s="96">
        <f t="shared" si="31"/>
        <v>7.68</v>
      </c>
      <c r="AT19" s="98">
        <f t="shared" si="32"/>
        <v>58.77533567742713</v>
      </c>
    </row>
    <row r="20" spans="17:46" x14ac:dyDescent="0.3">
      <c r="Q20" s="32">
        <v>13</v>
      </c>
      <c r="R20" s="97">
        <f t="shared" si="0"/>
        <v>12</v>
      </c>
      <c r="S20" s="96">
        <f t="shared" si="1"/>
        <v>0.69333333333333336</v>
      </c>
      <c r="T20" s="96">
        <f t="shared" si="2"/>
        <v>18</v>
      </c>
      <c r="U20" s="98">
        <f t="shared" si="3"/>
        <v>0.46222222222222226</v>
      </c>
      <c r="V20" s="97">
        <f t="shared" si="4"/>
        <v>2</v>
      </c>
      <c r="W20" s="96">
        <f t="shared" si="5"/>
        <v>0.4</v>
      </c>
      <c r="X20" s="98">
        <f t="shared" si="6"/>
        <v>0.6</v>
      </c>
      <c r="Y20" s="97">
        <f t="shared" si="18"/>
        <v>2.1818181818181821</v>
      </c>
      <c r="Z20" s="96">
        <f t="shared" ref="Z20:Z71" si="33">CHOOSE(V20,Y20,U20+S20+(Y20))</f>
        <v>3.3373737373737375</v>
      </c>
      <c r="AA20" s="96">
        <f t="shared" si="19"/>
        <v>0.78124490244230238</v>
      </c>
      <c r="AB20" s="96">
        <v>0</v>
      </c>
      <c r="AC20" s="96">
        <f t="shared" si="20"/>
        <v>6.1034359759208259E-3</v>
      </c>
      <c r="AD20" s="98">
        <f t="shared" si="21"/>
        <v>6.1034359759208259E-3</v>
      </c>
      <c r="AE20" s="97">
        <f t="shared" si="22"/>
        <v>0.12818962962962965</v>
      </c>
      <c r="AF20" s="96">
        <f t="shared" si="23"/>
        <v>0.78124490244230238</v>
      </c>
      <c r="AG20" s="96">
        <f t="shared" si="10"/>
        <v>3.0517179879604129E-3</v>
      </c>
      <c r="AH20" s="96">
        <f t="shared" si="11"/>
        <v>0.3955486688265954</v>
      </c>
      <c r="AI20" s="98">
        <f t="shared" si="24"/>
        <v>0.39860038681455578</v>
      </c>
      <c r="AJ20" s="97">
        <f t="shared" si="25"/>
        <v>0.69333333333333336</v>
      </c>
      <c r="AK20" s="96">
        <f t="shared" si="26"/>
        <v>1.807201862995647</v>
      </c>
      <c r="AL20" s="96">
        <f t="shared" si="27"/>
        <v>4.5066666666666672E-2</v>
      </c>
      <c r="AM20" s="96">
        <f t="shared" si="14"/>
        <v>4.8104000000000005</v>
      </c>
      <c r="AN20" s="98">
        <f t="shared" si="28"/>
        <v>4.8554666666666675</v>
      </c>
      <c r="AO20" s="97">
        <f t="shared" si="15"/>
        <v>2.4413743903683302E-3</v>
      </c>
      <c r="AP20" s="96">
        <f t="shared" si="16"/>
        <v>0.12150000000000002</v>
      </c>
      <c r="AQ20" s="98">
        <f t="shared" si="29"/>
        <v>8.0999999999999996E-3</v>
      </c>
      <c r="AR20" s="97">
        <f t="shared" si="30"/>
        <v>5.3861084278715916</v>
      </c>
      <c r="AS20" s="96">
        <f t="shared" si="31"/>
        <v>8.32</v>
      </c>
      <c r="AT20" s="98">
        <f t="shared" si="32"/>
        <v>60.702861383185521</v>
      </c>
    </row>
    <row r="21" spans="17:46" x14ac:dyDescent="0.3">
      <c r="Q21" s="32">
        <v>14</v>
      </c>
      <c r="R21" s="97">
        <f t="shared" si="0"/>
        <v>12</v>
      </c>
      <c r="S21" s="96">
        <f t="shared" si="1"/>
        <v>0.7466666666666667</v>
      </c>
      <c r="T21" s="96">
        <f t="shared" si="2"/>
        <v>18</v>
      </c>
      <c r="U21" s="98">
        <f t="shared" si="3"/>
        <v>0.49777777777777782</v>
      </c>
      <c r="V21" s="97">
        <f t="shared" si="4"/>
        <v>2</v>
      </c>
      <c r="W21" s="96">
        <f t="shared" si="5"/>
        <v>0.4</v>
      </c>
      <c r="X21" s="98">
        <f t="shared" si="6"/>
        <v>0.6</v>
      </c>
      <c r="Y21" s="97">
        <f t="shared" si="18"/>
        <v>2.1818181818181821</v>
      </c>
      <c r="Z21" s="96">
        <f t="shared" si="33"/>
        <v>3.4262626262626266</v>
      </c>
      <c r="AA21" s="96">
        <f t="shared" si="19"/>
        <v>0.80279320558000233</v>
      </c>
      <c r="AB21" s="96">
        <v>0</v>
      </c>
      <c r="AC21" s="96">
        <f t="shared" si="20"/>
        <v>6.4447693092541591E-3</v>
      </c>
      <c r="AD21" s="98">
        <f t="shared" si="21"/>
        <v>6.4447693092541591E-3</v>
      </c>
      <c r="AE21" s="97">
        <f t="shared" si="22"/>
        <v>0.14866962962962965</v>
      </c>
      <c r="AF21" s="96">
        <f t="shared" si="23"/>
        <v>0.80279320558000233</v>
      </c>
      <c r="AG21" s="96">
        <f t="shared" si="10"/>
        <v>3.2223846546270796E-3</v>
      </c>
      <c r="AH21" s="96">
        <f t="shared" si="11"/>
        <v>0.42597548950556424</v>
      </c>
      <c r="AI21" s="98">
        <f t="shared" si="24"/>
        <v>0.42919787416019134</v>
      </c>
      <c r="AJ21" s="97">
        <f t="shared" si="25"/>
        <v>0.7466666666666667</v>
      </c>
      <c r="AK21" s="96">
        <f t="shared" si="26"/>
        <v>1.8735907263803837</v>
      </c>
      <c r="AL21" s="96">
        <f t="shared" si="27"/>
        <v>4.8533333333333338E-2</v>
      </c>
      <c r="AM21" s="96">
        <f t="shared" si="14"/>
        <v>4.8104000000000005</v>
      </c>
      <c r="AN21" s="98">
        <f t="shared" si="28"/>
        <v>4.8589333333333338</v>
      </c>
      <c r="AO21" s="97">
        <f t="shared" si="15"/>
        <v>2.5779077237016636E-3</v>
      </c>
      <c r="AP21" s="96">
        <f t="shared" si="16"/>
        <v>0.12150000000000002</v>
      </c>
      <c r="AQ21" s="98">
        <f t="shared" si="29"/>
        <v>8.0999999999999996E-3</v>
      </c>
      <c r="AR21" s="97">
        <f t="shared" si="30"/>
        <v>5.4203091152172274</v>
      </c>
      <c r="AS21" s="96">
        <f t="shared" si="31"/>
        <v>8.9600000000000009</v>
      </c>
      <c r="AT21" s="98">
        <f t="shared" si="32"/>
        <v>62.307422797459466</v>
      </c>
    </row>
    <row r="22" spans="17:46" x14ac:dyDescent="0.3">
      <c r="Q22" s="32">
        <v>15</v>
      </c>
      <c r="R22" s="97">
        <f t="shared" si="0"/>
        <v>12</v>
      </c>
      <c r="S22" s="96">
        <f t="shared" si="1"/>
        <v>0.8</v>
      </c>
      <c r="T22" s="96">
        <f t="shared" si="2"/>
        <v>18</v>
      </c>
      <c r="U22" s="98">
        <f t="shared" si="3"/>
        <v>0.53333333333333344</v>
      </c>
      <c r="V22" s="97">
        <f t="shared" si="4"/>
        <v>2</v>
      </c>
      <c r="W22" s="96">
        <f t="shared" si="5"/>
        <v>0.4</v>
      </c>
      <c r="X22" s="98">
        <f t="shared" si="6"/>
        <v>0.6</v>
      </c>
      <c r="Y22" s="97">
        <f t="shared" si="18"/>
        <v>2.1818181818181821</v>
      </c>
      <c r="Z22" s="96">
        <f t="shared" si="33"/>
        <v>3.5151515151515156</v>
      </c>
      <c r="AA22" s="96">
        <f t="shared" si="19"/>
        <v>0.82531124996602201</v>
      </c>
      <c r="AB22" s="96">
        <v>0</v>
      </c>
      <c r="AC22" s="96">
        <f t="shared" si="20"/>
        <v>6.811386593204777E-3</v>
      </c>
      <c r="AD22" s="98">
        <f t="shared" si="21"/>
        <v>6.811386593204777E-3</v>
      </c>
      <c r="AE22" s="97">
        <f t="shared" si="22"/>
        <v>0.17066666666666672</v>
      </c>
      <c r="AF22" s="96">
        <f t="shared" si="23"/>
        <v>0.82531124996602201</v>
      </c>
      <c r="AG22" s="96">
        <f t="shared" si="10"/>
        <v>3.4056932966023885E-3</v>
      </c>
      <c r="AH22" s="96">
        <f t="shared" si="11"/>
        <v>0.4564023101845332</v>
      </c>
      <c r="AI22" s="98">
        <f t="shared" si="24"/>
        <v>0.4598080034811356</v>
      </c>
      <c r="AJ22" s="97">
        <f t="shared" si="25"/>
        <v>0.8</v>
      </c>
      <c r="AK22" s="96">
        <f t="shared" si="26"/>
        <v>1.9401513672452704</v>
      </c>
      <c r="AL22" s="96">
        <f t="shared" si="27"/>
        <v>5.2000000000000005E-2</v>
      </c>
      <c r="AM22" s="96">
        <f t="shared" si="14"/>
        <v>4.8104000000000005</v>
      </c>
      <c r="AN22" s="98">
        <f t="shared" si="28"/>
        <v>4.8624000000000001</v>
      </c>
      <c r="AO22" s="97">
        <f t="shared" si="15"/>
        <v>2.724554637281911E-3</v>
      </c>
      <c r="AP22" s="96">
        <f t="shared" si="16"/>
        <v>0.12150000000000002</v>
      </c>
      <c r="AQ22" s="98">
        <f t="shared" si="29"/>
        <v>8.0999999999999996E-3</v>
      </c>
      <c r="AR22" s="97">
        <f t="shared" si="30"/>
        <v>5.4545325581184176</v>
      </c>
      <c r="AS22" s="96">
        <f t="shared" si="31"/>
        <v>9.6000000000000014</v>
      </c>
      <c r="AT22" s="98">
        <f t="shared" si="32"/>
        <v>63.768170568823365</v>
      </c>
    </row>
    <row r="23" spans="17:46" x14ac:dyDescent="0.3">
      <c r="Q23" s="32">
        <v>16</v>
      </c>
      <c r="R23" s="97">
        <f t="shared" si="0"/>
        <v>12</v>
      </c>
      <c r="S23" s="96">
        <f t="shared" si="1"/>
        <v>0.85333333333333339</v>
      </c>
      <c r="T23" s="96">
        <f t="shared" si="2"/>
        <v>18</v>
      </c>
      <c r="U23" s="98">
        <f t="shared" si="3"/>
        <v>0.56888888888888889</v>
      </c>
      <c r="V23" s="97">
        <f t="shared" si="4"/>
        <v>2</v>
      </c>
      <c r="W23" s="96">
        <f t="shared" si="5"/>
        <v>0.4</v>
      </c>
      <c r="X23" s="98">
        <f t="shared" si="6"/>
        <v>0.6</v>
      </c>
      <c r="Y23" s="97">
        <f t="shared" si="18"/>
        <v>2.1818181818181821</v>
      </c>
      <c r="Z23" s="96">
        <f t="shared" si="33"/>
        <v>3.6040404040404042</v>
      </c>
      <c r="AA23" s="96">
        <f t="shared" si="19"/>
        <v>0.8487218524211968</v>
      </c>
      <c r="AB23" s="96">
        <v>0</v>
      </c>
      <c r="AC23" s="96">
        <f t="shared" si="20"/>
        <v>7.2032878277726777E-3</v>
      </c>
      <c r="AD23" s="98">
        <f t="shared" si="21"/>
        <v>7.2032878277726777E-3</v>
      </c>
      <c r="AE23" s="97">
        <f t="shared" si="22"/>
        <v>0.19418074074074076</v>
      </c>
      <c r="AF23" s="96">
        <f t="shared" si="23"/>
        <v>0.8487218524211968</v>
      </c>
      <c r="AG23" s="96">
        <f t="shared" si="10"/>
        <v>3.6016439138863389E-3</v>
      </c>
      <c r="AH23" s="96">
        <f t="shared" si="11"/>
        <v>0.48682913086350199</v>
      </c>
      <c r="AI23" s="98">
        <f t="shared" si="24"/>
        <v>0.49043077477738833</v>
      </c>
      <c r="AJ23" s="97">
        <f t="shared" si="25"/>
        <v>0.85333333333333339</v>
      </c>
      <c r="AK23" s="96">
        <f t="shared" si="26"/>
        <v>2.0068666939162374</v>
      </c>
      <c r="AL23" s="96">
        <f t="shared" si="27"/>
        <v>5.5466666666666671E-2</v>
      </c>
      <c r="AM23" s="96">
        <f t="shared" si="14"/>
        <v>4.8104000000000005</v>
      </c>
      <c r="AN23" s="98">
        <f t="shared" si="28"/>
        <v>4.8658666666666672</v>
      </c>
      <c r="AO23" s="97">
        <f t="shared" si="15"/>
        <v>2.8813151311090713E-3</v>
      </c>
      <c r="AP23" s="96">
        <f t="shared" si="16"/>
        <v>0.12150000000000002</v>
      </c>
      <c r="AQ23" s="98">
        <f t="shared" si="29"/>
        <v>8.0999999999999996E-3</v>
      </c>
      <c r="AR23" s="97">
        <f t="shared" si="30"/>
        <v>5.4887787565751642</v>
      </c>
      <c r="AS23" s="96">
        <f t="shared" si="31"/>
        <v>10.24</v>
      </c>
      <c r="AT23" s="98">
        <f t="shared" si="32"/>
        <v>65.10359232892975</v>
      </c>
    </row>
    <row r="24" spans="17:46" x14ac:dyDescent="0.3">
      <c r="Q24" s="32">
        <v>17</v>
      </c>
      <c r="R24" s="97">
        <f t="shared" si="0"/>
        <v>12</v>
      </c>
      <c r="S24" s="96">
        <f t="shared" si="1"/>
        <v>0.90666666666666673</v>
      </c>
      <c r="T24" s="96">
        <f t="shared" si="2"/>
        <v>18</v>
      </c>
      <c r="U24" s="98">
        <f t="shared" si="3"/>
        <v>0.60444444444444445</v>
      </c>
      <c r="V24" s="97">
        <f t="shared" si="4"/>
        <v>2</v>
      </c>
      <c r="W24" s="96">
        <f t="shared" si="5"/>
        <v>0.4</v>
      </c>
      <c r="X24" s="98">
        <f t="shared" si="6"/>
        <v>0.6</v>
      </c>
      <c r="Y24" s="97">
        <f t="shared" si="18"/>
        <v>2.1818181818181821</v>
      </c>
      <c r="Z24" s="96">
        <f t="shared" si="33"/>
        <v>3.6929292929292932</v>
      </c>
      <c r="AA24" s="96">
        <f t="shared" si="19"/>
        <v>0.87295320681912059</v>
      </c>
      <c r="AB24" s="96">
        <v>0</v>
      </c>
      <c r="AC24" s="96">
        <f t="shared" si="20"/>
        <v>7.620473012957864E-3</v>
      </c>
      <c r="AD24" s="98">
        <f t="shared" si="21"/>
        <v>7.620473012957864E-3</v>
      </c>
      <c r="AE24" s="97">
        <f t="shared" si="22"/>
        <v>0.21921185185185188</v>
      </c>
      <c r="AF24" s="96">
        <f t="shared" si="23"/>
        <v>0.87295320681912059</v>
      </c>
      <c r="AG24" s="96">
        <f t="shared" si="10"/>
        <v>3.810236506478932E-3</v>
      </c>
      <c r="AH24" s="96">
        <f t="shared" si="11"/>
        <v>0.51725595154247073</v>
      </c>
      <c r="AI24" s="98">
        <f t="shared" si="24"/>
        <v>0.52106618804894966</v>
      </c>
      <c r="AJ24" s="97">
        <f t="shared" si="25"/>
        <v>0.90666666666666673</v>
      </c>
      <c r="AK24" s="96">
        <f t="shared" si="26"/>
        <v>2.0737217768925444</v>
      </c>
      <c r="AL24" s="96">
        <f t="shared" si="27"/>
        <v>5.8933333333333338E-2</v>
      </c>
      <c r="AM24" s="96">
        <f t="shared" si="14"/>
        <v>4.8104000000000005</v>
      </c>
      <c r="AN24" s="98">
        <f t="shared" si="28"/>
        <v>4.8693333333333335</v>
      </c>
      <c r="AO24" s="97">
        <f t="shared" si="15"/>
        <v>3.0481892051831454E-3</v>
      </c>
      <c r="AP24" s="96">
        <f t="shared" si="16"/>
        <v>0.12150000000000002</v>
      </c>
      <c r="AQ24" s="98">
        <f t="shared" si="29"/>
        <v>8.0999999999999996E-3</v>
      </c>
      <c r="AR24" s="97">
        <f t="shared" si="30"/>
        <v>5.5230477105874662</v>
      </c>
      <c r="AS24" s="96">
        <f t="shared" si="31"/>
        <v>10.88</v>
      </c>
      <c r="AT24" s="98">
        <f t="shared" si="32"/>
        <v>66.329137072358975</v>
      </c>
    </row>
    <row r="25" spans="17:46" x14ac:dyDescent="0.3">
      <c r="Q25" s="32">
        <v>18</v>
      </c>
      <c r="R25" s="97">
        <f t="shared" si="0"/>
        <v>12</v>
      </c>
      <c r="S25" s="96">
        <f t="shared" si="1"/>
        <v>0.96000000000000008</v>
      </c>
      <c r="T25" s="96">
        <f t="shared" si="2"/>
        <v>18</v>
      </c>
      <c r="U25" s="98">
        <f t="shared" si="3"/>
        <v>0.64000000000000012</v>
      </c>
      <c r="V25" s="97">
        <f t="shared" si="4"/>
        <v>2</v>
      </c>
      <c r="W25" s="96">
        <f t="shared" si="5"/>
        <v>0.4</v>
      </c>
      <c r="X25" s="98">
        <f t="shared" si="6"/>
        <v>0.6</v>
      </c>
      <c r="Y25" s="97">
        <f t="shared" si="18"/>
        <v>2.1818181818181821</v>
      </c>
      <c r="Z25" s="96">
        <f t="shared" si="33"/>
        <v>3.7818181818181822</v>
      </c>
      <c r="AA25" s="96">
        <f t="shared" si="19"/>
        <v>0.89793887034476527</v>
      </c>
      <c r="AB25" s="96">
        <v>0</v>
      </c>
      <c r="AC25" s="96">
        <f t="shared" si="20"/>
        <v>8.0629421487603322E-3</v>
      </c>
      <c r="AD25" s="98">
        <f t="shared" si="21"/>
        <v>8.0629421487603322E-3</v>
      </c>
      <c r="AE25" s="97">
        <f t="shared" si="22"/>
        <v>0.24576000000000009</v>
      </c>
      <c r="AF25" s="96">
        <f t="shared" si="23"/>
        <v>0.89793887034476527</v>
      </c>
      <c r="AG25" s="96">
        <f t="shared" si="10"/>
        <v>4.0314710743801661E-3</v>
      </c>
      <c r="AH25" s="96">
        <f t="shared" si="11"/>
        <v>0.54768277222143968</v>
      </c>
      <c r="AI25" s="98">
        <f t="shared" si="24"/>
        <v>0.55171424329581986</v>
      </c>
      <c r="AJ25" s="97">
        <f t="shared" si="25"/>
        <v>0.96000000000000008</v>
      </c>
      <c r="AK25" s="96">
        <f t="shared" si="26"/>
        <v>2.1407035222673727</v>
      </c>
      <c r="AL25" s="96">
        <f t="shared" si="27"/>
        <v>6.2400000000000004E-2</v>
      </c>
      <c r="AM25" s="96">
        <f t="shared" si="14"/>
        <v>4.8104000000000005</v>
      </c>
      <c r="AN25" s="98">
        <f t="shared" si="28"/>
        <v>4.8728000000000007</v>
      </c>
      <c r="AO25" s="97">
        <f t="shared" si="15"/>
        <v>3.2251768595041325E-3</v>
      </c>
      <c r="AP25" s="96">
        <f t="shared" si="16"/>
        <v>0.12150000000000002</v>
      </c>
      <c r="AQ25" s="98">
        <f t="shared" si="29"/>
        <v>8.0999999999999996E-3</v>
      </c>
      <c r="AR25" s="97">
        <f t="shared" si="30"/>
        <v>5.5573394201553246</v>
      </c>
      <c r="AS25" s="96">
        <f t="shared" si="31"/>
        <v>11.520000000000001</v>
      </c>
      <c r="AT25" s="98">
        <f t="shared" si="32"/>
        <v>67.457814806934508</v>
      </c>
    </row>
    <row r="26" spans="17:46" x14ac:dyDescent="0.3">
      <c r="Q26" s="32">
        <v>19</v>
      </c>
      <c r="R26" s="97">
        <f t="shared" si="0"/>
        <v>12</v>
      </c>
      <c r="S26" s="96">
        <f t="shared" si="1"/>
        <v>1.0133333333333334</v>
      </c>
      <c r="T26" s="96">
        <f t="shared" si="2"/>
        <v>18</v>
      </c>
      <c r="U26" s="98">
        <f t="shared" si="3"/>
        <v>0.67555555555555558</v>
      </c>
      <c r="V26" s="97">
        <f t="shared" si="4"/>
        <v>2</v>
      </c>
      <c r="W26" s="96">
        <f t="shared" si="5"/>
        <v>0.4</v>
      </c>
      <c r="X26" s="98">
        <f t="shared" si="6"/>
        <v>0.6</v>
      </c>
      <c r="Y26" s="97">
        <f t="shared" si="18"/>
        <v>2.1818181818181821</v>
      </c>
      <c r="Z26" s="96">
        <f t="shared" si="33"/>
        <v>3.8707070707070712</v>
      </c>
      <c r="AA26" s="96">
        <f t="shared" si="19"/>
        <v>0.9236176284144908</v>
      </c>
      <c r="AB26" s="96">
        <v>0</v>
      </c>
      <c r="AC26" s="96">
        <f t="shared" si="20"/>
        <v>8.5306952351800833E-3</v>
      </c>
      <c r="AD26" s="98">
        <f t="shared" si="21"/>
        <v>8.5306952351800833E-3</v>
      </c>
      <c r="AE26" s="97">
        <f t="shared" si="22"/>
        <v>0.27382518518518523</v>
      </c>
      <c r="AF26" s="96">
        <f t="shared" si="23"/>
        <v>0.9236176284144908</v>
      </c>
      <c r="AG26" s="96">
        <f t="shared" si="10"/>
        <v>4.2653476175900417E-3</v>
      </c>
      <c r="AH26" s="96">
        <f t="shared" si="11"/>
        <v>0.57810959290040864</v>
      </c>
      <c r="AI26" s="98">
        <f t="shared" si="24"/>
        <v>0.58237494051799865</v>
      </c>
      <c r="AJ26" s="97">
        <f t="shared" si="25"/>
        <v>1.0133333333333334</v>
      </c>
      <c r="AK26" s="96">
        <f t="shared" si="26"/>
        <v>2.2078004017616673</v>
      </c>
      <c r="AL26" s="96">
        <f t="shared" si="27"/>
        <v>6.5866666666666671E-2</v>
      </c>
      <c r="AM26" s="96">
        <f t="shared" si="14"/>
        <v>4.8104000000000005</v>
      </c>
      <c r="AN26" s="98">
        <f t="shared" si="28"/>
        <v>4.876266666666667</v>
      </c>
      <c r="AO26" s="97">
        <f t="shared" si="15"/>
        <v>3.4122780940720335E-3</v>
      </c>
      <c r="AP26" s="96">
        <f t="shared" si="16"/>
        <v>0.12150000000000002</v>
      </c>
      <c r="AQ26" s="98">
        <f t="shared" si="29"/>
        <v>8.0999999999999996E-3</v>
      </c>
      <c r="AR26" s="97">
        <f t="shared" si="30"/>
        <v>5.5916538852787374</v>
      </c>
      <c r="AS26" s="96">
        <f t="shared" si="31"/>
        <v>12.16</v>
      </c>
      <c r="AT26" s="98">
        <f t="shared" si="32"/>
        <v>68.500659592536124</v>
      </c>
    </row>
    <row r="27" spans="17:46" x14ac:dyDescent="0.3">
      <c r="Q27" s="32">
        <v>20</v>
      </c>
      <c r="R27" s="97">
        <f t="shared" si="0"/>
        <v>12</v>
      </c>
      <c r="S27" s="96">
        <f t="shared" si="1"/>
        <v>1.0666666666666667</v>
      </c>
      <c r="T27" s="96">
        <f t="shared" si="2"/>
        <v>18</v>
      </c>
      <c r="U27" s="98">
        <f t="shared" si="3"/>
        <v>0.71111111111111114</v>
      </c>
      <c r="V27" s="97">
        <f t="shared" si="4"/>
        <v>2</v>
      </c>
      <c r="W27" s="96">
        <f t="shared" si="5"/>
        <v>0.4</v>
      </c>
      <c r="X27" s="98">
        <f t="shared" si="6"/>
        <v>0.6</v>
      </c>
      <c r="Y27" s="97">
        <f t="shared" si="18"/>
        <v>2.1818181818181821</v>
      </c>
      <c r="Z27" s="96">
        <f t="shared" si="33"/>
        <v>3.9595959595959598</v>
      </c>
      <c r="AA27" s="96">
        <f t="shared" si="19"/>
        <v>0.949933275141845</v>
      </c>
      <c r="AB27" s="96">
        <v>0</v>
      </c>
      <c r="AC27" s="96">
        <f t="shared" si="20"/>
        <v>9.0237322722171217E-3</v>
      </c>
      <c r="AD27" s="98">
        <f t="shared" si="21"/>
        <v>9.0237322722171217E-3</v>
      </c>
      <c r="AE27" s="97">
        <f t="shared" si="22"/>
        <v>0.30340740740740746</v>
      </c>
      <c r="AF27" s="96">
        <f t="shared" si="23"/>
        <v>0.949933275141845</v>
      </c>
      <c r="AG27" s="96">
        <f t="shared" si="10"/>
        <v>4.5118661361085608E-3</v>
      </c>
      <c r="AH27" s="96">
        <f t="shared" si="11"/>
        <v>0.60853641357937738</v>
      </c>
      <c r="AI27" s="98">
        <f t="shared" si="24"/>
        <v>0.61304827971548592</v>
      </c>
      <c r="AJ27" s="97">
        <f t="shared" si="25"/>
        <v>1.0666666666666667</v>
      </c>
      <c r="AK27" s="96">
        <f t="shared" si="26"/>
        <v>2.2750022284102283</v>
      </c>
      <c r="AL27" s="96">
        <f t="shared" si="27"/>
        <v>6.933333333333333E-2</v>
      </c>
      <c r="AM27" s="96">
        <f t="shared" si="14"/>
        <v>4.8104000000000005</v>
      </c>
      <c r="AN27" s="98">
        <f t="shared" si="28"/>
        <v>4.8797333333333341</v>
      </c>
      <c r="AO27" s="97">
        <f t="shared" si="15"/>
        <v>3.6094929088868488E-3</v>
      </c>
      <c r="AP27" s="96">
        <f t="shared" si="16"/>
        <v>0.12150000000000002</v>
      </c>
      <c r="AQ27" s="98">
        <f t="shared" si="29"/>
        <v>8.0999999999999996E-3</v>
      </c>
      <c r="AR27" s="97">
        <f t="shared" si="30"/>
        <v>5.6259911059577075</v>
      </c>
      <c r="AS27" s="96">
        <f t="shared" si="31"/>
        <v>12.8</v>
      </c>
      <c r="AT27" s="98">
        <f t="shared" si="32"/>
        <v>69.467090949921044</v>
      </c>
    </row>
    <row r="28" spans="17:46" x14ac:dyDescent="0.3">
      <c r="Q28" s="32">
        <v>21</v>
      </c>
      <c r="R28" s="97">
        <f t="shared" si="0"/>
        <v>12</v>
      </c>
      <c r="S28" s="96">
        <f t="shared" si="1"/>
        <v>1.1200000000000001</v>
      </c>
      <c r="T28" s="96">
        <f t="shared" si="2"/>
        <v>18</v>
      </c>
      <c r="U28" s="98">
        <f t="shared" si="3"/>
        <v>0.7466666666666667</v>
      </c>
      <c r="V28" s="97">
        <f t="shared" si="4"/>
        <v>2</v>
      </c>
      <c r="W28" s="96">
        <f t="shared" si="5"/>
        <v>0.4</v>
      </c>
      <c r="X28" s="98">
        <f t="shared" si="6"/>
        <v>0.6</v>
      </c>
      <c r="Y28" s="97">
        <f t="shared" si="18"/>
        <v>2.1818181818181821</v>
      </c>
      <c r="Z28" s="96">
        <f t="shared" si="33"/>
        <v>4.0484848484848488</v>
      </c>
      <c r="AA28" s="96">
        <f t="shared" si="19"/>
        <v>0.97683433907042005</v>
      </c>
      <c r="AB28" s="96">
        <v>0</v>
      </c>
      <c r="AC28" s="96">
        <f t="shared" si="20"/>
        <v>9.5420532598714438E-3</v>
      </c>
      <c r="AD28" s="98">
        <f t="shared" si="21"/>
        <v>9.5420532598714438E-3</v>
      </c>
      <c r="AE28" s="97">
        <f t="shared" si="22"/>
        <v>0.33450666666666673</v>
      </c>
      <c r="AF28" s="96">
        <f t="shared" si="23"/>
        <v>0.97683433907042005</v>
      </c>
      <c r="AG28" s="96">
        <f t="shared" si="10"/>
        <v>4.7710266299357219E-3</v>
      </c>
      <c r="AH28" s="96">
        <f t="shared" si="11"/>
        <v>0.63896323425834634</v>
      </c>
      <c r="AI28" s="98">
        <f t="shared" si="24"/>
        <v>0.64373426088828201</v>
      </c>
      <c r="AJ28" s="97">
        <f t="shared" si="25"/>
        <v>1.1200000000000001</v>
      </c>
      <c r="AK28" s="96">
        <f t="shared" si="26"/>
        <v>2.3422999692621591</v>
      </c>
      <c r="AL28" s="96">
        <f t="shared" si="27"/>
        <v>7.2800000000000004E-2</v>
      </c>
      <c r="AM28" s="96">
        <f t="shared" si="14"/>
        <v>4.8104000000000005</v>
      </c>
      <c r="AN28" s="98">
        <f t="shared" si="28"/>
        <v>4.8832000000000004</v>
      </c>
      <c r="AO28" s="97">
        <f t="shared" si="15"/>
        <v>3.8168213039485774E-3</v>
      </c>
      <c r="AP28" s="96">
        <f t="shared" si="16"/>
        <v>0.12150000000000002</v>
      </c>
      <c r="AQ28" s="98">
        <f t="shared" si="29"/>
        <v>8.0999999999999996E-3</v>
      </c>
      <c r="AR28" s="97">
        <f t="shared" si="30"/>
        <v>5.6603510821922312</v>
      </c>
      <c r="AS28" s="96">
        <f t="shared" si="31"/>
        <v>13.440000000000001</v>
      </c>
      <c r="AT28" s="98">
        <f t="shared" si="32"/>
        <v>70.365198745118732</v>
      </c>
    </row>
    <row r="29" spans="17:46" x14ac:dyDescent="0.3">
      <c r="Q29" s="32">
        <v>22</v>
      </c>
      <c r="R29" s="97">
        <f t="shared" si="0"/>
        <v>12</v>
      </c>
      <c r="S29" s="96">
        <f t="shared" si="1"/>
        <v>1.1733333333333333</v>
      </c>
      <c r="T29" s="96">
        <f t="shared" si="2"/>
        <v>18</v>
      </c>
      <c r="U29" s="98">
        <f t="shared" si="3"/>
        <v>0.78222222222222226</v>
      </c>
      <c r="V29" s="97">
        <f t="shared" si="4"/>
        <v>2</v>
      </c>
      <c r="W29" s="96">
        <f t="shared" si="5"/>
        <v>0.4</v>
      </c>
      <c r="X29" s="98">
        <f t="shared" si="6"/>
        <v>0.6</v>
      </c>
      <c r="Y29" s="97">
        <f t="shared" si="18"/>
        <v>2.1818181818181821</v>
      </c>
      <c r="Z29" s="96">
        <f t="shared" si="33"/>
        <v>4.1373737373737374</v>
      </c>
      <c r="AA29" s="96">
        <f t="shared" si="19"/>
        <v>1.0042737773208583</v>
      </c>
      <c r="AB29" s="96">
        <v>0</v>
      </c>
      <c r="AC29" s="96">
        <f t="shared" si="20"/>
        <v>1.0085658198143048E-2</v>
      </c>
      <c r="AD29" s="98">
        <f t="shared" si="21"/>
        <v>1.0085658198143048E-2</v>
      </c>
      <c r="AE29" s="97">
        <f t="shared" si="22"/>
        <v>0.36712296296296298</v>
      </c>
      <c r="AF29" s="96">
        <f t="shared" si="23"/>
        <v>1.0042737773208583</v>
      </c>
      <c r="AG29" s="96">
        <f t="shared" si="10"/>
        <v>5.042829099071524E-3</v>
      </c>
      <c r="AH29" s="96">
        <f t="shared" si="11"/>
        <v>0.66939005493731529</v>
      </c>
      <c r="AI29" s="98">
        <f t="shared" si="24"/>
        <v>0.67443288403638679</v>
      </c>
      <c r="AJ29" s="97">
        <f t="shared" si="25"/>
        <v>1.1733333333333333</v>
      </c>
      <c r="AK29" s="96">
        <f t="shared" si="26"/>
        <v>2.4096855882502592</v>
      </c>
      <c r="AL29" s="96">
        <f t="shared" si="27"/>
        <v>7.6266666666666663E-2</v>
      </c>
      <c r="AM29" s="96">
        <f t="shared" si="14"/>
        <v>4.8104000000000005</v>
      </c>
      <c r="AN29" s="98">
        <f t="shared" si="28"/>
        <v>4.8866666666666667</v>
      </c>
      <c r="AO29" s="97">
        <f t="shared" si="15"/>
        <v>4.0342632792572195E-3</v>
      </c>
      <c r="AP29" s="96">
        <f t="shared" si="16"/>
        <v>0.12150000000000002</v>
      </c>
      <c r="AQ29" s="98">
        <f t="shared" si="29"/>
        <v>8.0999999999999996E-3</v>
      </c>
      <c r="AR29" s="97">
        <f t="shared" si="30"/>
        <v>5.6947338139823103</v>
      </c>
      <c r="AS29" s="96">
        <f t="shared" si="31"/>
        <v>14.08</v>
      </c>
      <c r="AT29" s="98">
        <f t="shared" si="32"/>
        <v>71.201969808788633</v>
      </c>
    </row>
    <row r="30" spans="17:46" x14ac:dyDescent="0.3">
      <c r="Q30" s="32">
        <v>23</v>
      </c>
      <c r="R30" s="97">
        <f t="shared" si="0"/>
        <v>12</v>
      </c>
      <c r="S30" s="96">
        <f t="shared" si="1"/>
        <v>1.2266666666666668</v>
      </c>
      <c r="T30" s="96">
        <f t="shared" si="2"/>
        <v>18</v>
      </c>
      <c r="U30" s="98">
        <f t="shared" si="3"/>
        <v>0.81777777777777794</v>
      </c>
      <c r="V30" s="97">
        <f t="shared" si="4"/>
        <v>2</v>
      </c>
      <c r="W30" s="96">
        <f t="shared" si="5"/>
        <v>0.4</v>
      </c>
      <c r="X30" s="98">
        <f t="shared" si="6"/>
        <v>0.6</v>
      </c>
      <c r="Y30" s="97">
        <f t="shared" si="18"/>
        <v>2.1818181818181821</v>
      </c>
      <c r="Z30" s="96">
        <f t="shared" si="33"/>
        <v>4.2262626262626268</v>
      </c>
      <c r="AA30" s="96">
        <f t="shared" si="19"/>
        <v>1.032208655603698</v>
      </c>
      <c r="AB30" s="96">
        <v>0</v>
      </c>
      <c r="AC30" s="96">
        <f t="shared" si="20"/>
        <v>1.0654547087031936E-2</v>
      </c>
      <c r="AD30" s="98">
        <f t="shared" si="21"/>
        <v>1.0654547087031936E-2</v>
      </c>
      <c r="AE30" s="97">
        <f t="shared" si="22"/>
        <v>0.40125629629629644</v>
      </c>
      <c r="AF30" s="96">
        <f t="shared" si="23"/>
        <v>1.032208655603698</v>
      </c>
      <c r="AG30" s="96">
        <f t="shared" si="10"/>
        <v>5.3272735435159679E-3</v>
      </c>
      <c r="AH30" s="96">
        <f t="shared" si="11"/>
        <v>0.69981687561628414</v>
      </c>
      <c r="AI30" s="98">
        <f t="shared" si="24"/>
        <v>0.70514414915980006</v>
      </c>
      <c r="AJ30" s="97">
        <f t="shared" si="25"/>
        <v>1.2266666666666668</v>
      </c>
      <c r="AK30" s="96">
        <f t="shared" si="26"/>
        <v>2.4771519137747626</v>
      </c>
      <c r="AL30" s="96">
        <f t="shared" si="27"/>
        <v>7.973333333333335E-2</v>
      </c>
      <c r="AM30" s="96">
        <f t="shared" si="14"/>
        <v>4.8104000000000005</v>
      </c>
      <c r="AN30" s="98">
        <f t="shared" si="28"/>
        <v>4.8901333333333339</v>
      </c>
      <c r="AO30" s="97">
        <f t="shared" si="15"/>
        <v>4.2618188348127741E-3</v>
      </c>
      <c r="AP30" s="96">
        <f t="shared" si="16"/>
        <v>0.12150000000000002</v>
      </c>
      <c r="AQ30" s="98">
        <f t="shared" si="29"/>
        <v>8.0999999999999996E-3</v>
      </c>
      <c r="AR30" s="97">
        <f t="shared" si="30"/>
        <v>5.7291393013279466</v>
      </c>
      <c r="AS30" s="96">
        <f t="shared" si="31"/>
        <v>14.720000000000002</v>
      </c>
      <c r="AT30" s="98">
        <f t="shared" si="32"/>
        <v>71.983469734807358</v>
      </c>
    </row>
    <row r="31" spans="17:46" x14ac:dyDescent="0.3">
      <c r="Q31" s="32">
        <v>24</v>
      </c>
      <c r="R31" s="97">
        <f t="shared" si="0"/>
        <v>12</v>
      </c>
      <c r="S31" s="96">
        <f t="shared" si="1"/>
        <v>1.28</v>
      </c>
      <c r="T31" s="96">
        <f t="shared" si="2"/>
        <v>18</v>
      </c>
      <c r="U31" s="98">
        <f t="shared" si="3"/>
        <v>0.85333333333333328</v>
      </c>
      <c r="V31" s="97">
        <f t="shared" si="4"/>
        <v>2</v>
      </c>
      <c r="W31" s="96">
        <f t="shared" si="5"/>
        <v>0.4</v>
      </c>
      <c r="X31" s="98">
        <f t="shared" si="6"/>
        <v>0.6</v>
      </c>
      <c r="Y31" s="97">
        <f t="shared" si="18"/>
        <v>2.1818181818181821</v>
      </c>
      <c r="Z31" s="96">
        <f t="shared" si="33"/>
        <v>4.3151515151515154</v>
      </c>
      <c r="AA31" s="96">
        <f t="shared" si="19"/>
        <v>1.0605998268215071</v>
      </c>
      <c r="AB31" s="96">
        <v>0</v>
      </c>
      <c r="AC31" s="96">
        <f t="shared" si="20"/>
        <v>1.1248719926538109E-2</v>
      </c>
      <c r="AD31" s="98">
        <f t="shared" si="21"/>
        <v>1.1248719926538109E-2</v>
      </c>
      <c r="AE31" s="97">
        <f t="shared" si="22"/>
        <v>0.43690666666666672</v>
      </c>
      <c r="AF31" s="96">
        <f t="shared" si="23"/>
        <v>1.0605998268215071</v>
      </c>
      <c r="AG31" s="96">
        <f t="shared" si="10"/>
        <v>5.6243599632690546E-3</v>
      </c>
      <c r="AH31" s="96">
        <f t="shared" si="11"/>
        <v>0.73024369629525299</v>
      </c>
      <c r="AI31" s="98">
        <f t="shared" si="24"/>
        <v>0.73586805625852203</v>
      </c>
      <c r="AJ31" s="97">
        <f t="shared" si="25"/>
        <v>1.28</v>
      </c>
      <c r="AK31" s="96">
        <f t="shared" si="26"/>
        <v>2.5446925266319349</v>
      </c>
      <c r="AL31" s="96">
        <f t="shared" si="27"/>
        <v>8.320000000000001E-2</v>
      </c>
      <c r="AM31" s="96">
        <f t="shared" si="14"/>
        <v>4.8104000000000005</v>
      </c>
      <c r="AN31" s="98">
        <f t="shared" si="28"/>
        <v>4.8936000000000002</v>
      </c>
      <c r="AO31" s="97">
        <f t="shared" si="15"/>
        <v>4.4994879706152435E-3</v>
      </c>
      <c r="AP31" s="96">
        <f t="shared" si="16"/>
        <v>0.12150000000000002</v>
      </c>
      <c r="AQ31" s="98">
        <f t="shared" si="29"/>
        <v>8.0999999999999996E-3</v>
      </c>
      <c r="AR31" s="97">
        <f t="shared" si="30"/>
        <v>5.7635675442291374</v>
      </c>
      <c r="AS31" s="96">
        <f t="shared" si="31"/>
        <v>15.36</v>
      </c>
      <c r="AT31" s="98">
        <f t="shared" si="32"/>
        <v>72.714989870147591</v>
      </c>
    </row>
    <row r="32" spans="17:46" x14ac:dyDescent="0.3">
      <c r="Q32" s="32">
        <v>25</v>
      </c>
      <c r="R32" s="97">
        <f t="shared" si="0"/>
        <v>12</v>
      </c>
      <c r="S32" s="96">
        <f t="shared" si="1"/>
        <v>1.3333333333333335</v>
      </c>
      <c r="T32" s="96">
        <f t="shared" si="2"/>
        <v>18</v>
      </c>
      <c r="U32" s="98">
        <f t="shared" si="3"/>
        <v>0.88888888888888884</v>
      </c>
      <c r="V32" s="97">
        <f t="shared" si="4"/>
        <v>2</v>
      </c>
      <c r="W32" s="96">
        <f t="shared" si="5"/>
        <v>0.4</v>
      </c>
      <c r="X32" s="98">
        <f t="shared" si="6"/>
        <v>0.6</v>
      </c>
      <c r="Y32" s="97">
        <f t="shared" si="18"/>
        <v>2.1818181818181821</v>
      </c>
      <c r="Z32" s="96">
        <f t="shared" si="33"/>
        <v>4.4040404040404049</v>
      </c>
      <c r="AA32" s="96">
        <f t="shared" si="19"/>
        <v>1.0894116171889101</v>
      </c>
      <c r="AB32" s="96">
        <v>0</v>
      </c>
      <c r="AC32" s="96">
        <f t="shared" si="20"/>
        <v>1.1868176716661565E-2</v>
      </c>
      <c r="AD32" s="98">
        <f t="shared" si="21"/>
        <v>1.1868176716661565E-2</v>
      </c>
      <c r="AE32" s="97">
        <f t="shared" si="22"/>
        <v>0.47407407407407415</v>
      </c>
      <c r="AF32" s="96">
        <f t="shared" si="23"/>
        <v>1.0894116171889101</v>
      </c>
      <c r="AG32" s="96">
        <f t="shared" si="10"/>
        <v>5.9340883583307823E-3</v>
      </c>
      <c r="AH32" s="96">
        <f t="shared" si="11"/>
        <v>0.76067051697422183</v>
      </c>
      <c r="AI32" s="98">
        <f t="shared" si="24"/>
        <v>0.76660460533255259</v>
      </c>
      <c r="AJ32" s="97">
        <f t="shared" si="25"/>
        <v>1.3333333333333335</v>
      </c>
      <c r="AK32" s="96">
        <f t="shared" si="26"/>
        <v>2.6123016647692805</v>
      </c>
      <c r="AL32" s="96">
        <f t="shared" si="27"/>
        <v>8.6666666666666684E-2</v>
      </c>
      <c r="AM32" s="96">
        <f t="shared" si="14"/>
        <v>4.8104000000000005</v>
      </c>
      <c r="AN32" s="98">
        <f t="shared" si="28"/>
        <v>4.8970666666666673</v>
      </c>
      <c r="AO32" s="97">
        <f t="shared" si="15"/>
        <v>4.7472706866646258E-3</v>
      </c>
      <c r="AP32" s="96">
        <f t="shared" si="16"/>
        <v>0.12150000000000002</v>
      </c>
      <c r="AQ32" s="98">
        <f t="shared" si="29"/>
        <v>8.0999999999999996E-3</v>
      </c>
      <c r="AR32" s="97">
        <f t="shared" si="30"/>
        <v>5.7980185426858846</v>
      </c>
      <c r="AS32" s="96">
        <f t="shared" si="31"/>
        <v>16</v>
      </c>
      <c r="AT32" s="98">
        <f t="shared" si="32"/>
        <v>73.401167031159559</v>
      </c>
    </row>
    <row r="33" spans="17:46" x14ac:dyDescent="0.3">
      <c r="Q33" s="32">
        <v>26</v>
      </c>
      <c r="R33" s="97">
        <f t="shared" si="0"/>
        <v>12</v>
      </c>
      <c r="S33" s="96">
        <f t="shared" si="1"/>
        <v>1.3866666666666667</v>
      </c>
      <c r="T33" s="96">
        <f t="shared" si="2"/>
        <v>18</v>
      </c>
      <c r="U33" s="98">
        <f t="shared" si="3"/>
        <v>0.92444444444444451</v>
      </c>
      <c r="V33" s="97">
        <f t="shared" si="4"/>
        <v>2</v>
      </c>
      <c r="W33" s="96">
        <f t="shared" si="5"/>
        <v>0.4</v>
      </c>
      <c r="X33" s="98">
        <f t="shared" si="6"/>
        <v>0.6</v>
      </c>
      <c r="Y33" s="97">
        <f t="shared" si="18"/>
        <v>2.1818181818181821</v>
      </c>
      <c r="Z33" s="96">
        <f t="shared" si="33"/>
        <v>4.4929292929292934</v>
      </c>
      <c r="AA33" s="96">
        <f t="shared" si="19"/>
        <v>1.1186115258391676</v>
      </c>
      <c r="AB33" s="96">
        <v>0</v>
      </c>
      <c r="AC33" s="96">
        <f t="shared" si="20"/>
        <v>1.2512917457402307E-2</v>
      </c>
      <c r="AD33" s="98">
        <f t="shared" si="21"/>
        <v>1.2512917457402307E-2</v>
      </c>
      <c r="AE33" s="97">
        <f t="shared" si="22"/>
        <v>0.51275851851851861</v>
      </c>
      <c r="AF33" s="96">
        <f t="shared" si="23"/>
        <v>1.1186115258391676</v>
      </c>
      <c r="AG33" s="96">
        <f t="shared" si="10"/>
        <v>6.2564587287011536E-3</v>
      </c>
      <c r="AH33" s="96">
        <f t="shared" si="11"/>
        <v>0.79109733765319079</v>
      </c>
      <c r="AI33" s="98">
        <f t="shared" si="24"/>
        <v>0.79735379638189197</v>
      </c>
      <c r="AJ33" s="97">
        <f t="shared" si="25"/>
        <v>1.3866666666666667</v>
      </c>
      <c r="AK33" s="96">
        <f t="shared" si="26"/>
        <v>2.6799741420203604</v>
      </c>
      <c r="AL33" s="96">
        <f t="shared" si="27"/>
        <v>9.0133333333333343E-2</v>
      </c>
      <c r="AM33" s="96">
        <f t="shared" si="14"/>
        <v>4.8104000000000005</v>
      </c>
      <c r="AN33" s="98">
        <f t="shared" si="28"/>
        <v>4.9005333333333336</v>
      </c>
      <c r="AO33" s="97">
        <f t="shared" si="15"/>
        <v>5.0051669829609229E-3</v>
      </c>
      <c r="AP33" s="96">
        <f t="shared" si="16"/>
        <v>0.12150000000000002</v>
      </c>
      <c r="AQ33" s="98">
        <f t="shared" si="29"/>
        <v>8.0999999999999996E-3</v>
      </c>
      <c r="AR33" s="97">
        <f t="shared" si="30"/>
        <v>5.8324922966981863</v>
      </c>
      <c r="AS33" s="96">
        <f t="shared" si="31"/>
        <v>16.64</v>
      </c>
      <c r="AT33" s="98">
        <f t="shared" si="32"/>
        <v>74.046081673125613</v>
      </c>
    </row>
    <row r="34" spans="17:46" x14ac:dyDescent="0.3">
      <c r="Q34" s="32">
        <v>27</v>
      </c>
      <c r="R34" s="97">
        <f t="shared" si="0"/>
        <v>12</v>
      </c>
      <c r="S34" s="96">
        <f t="shared" si="1"/>
        <v>1.4400000000000002</v>
      </c>
      <c r="T34" s="96">
        <f t="shared" si="2"/>
        <v>18</v>
      </c>
      <c r="U34" s="98">
        <f t="shared" si="3"/>
        <v>0.96000000000000008</v>
      </c>
      <c r="V34" s="97">
        <f t="shared" si="4"/>
        <v>2</v>
      </c>
      <c r="W34" s="96">
        <f t="shared" si="5"/>
        <v>0.4</v>
      </c>
      <c r="X34" s="98">
        <f t="shared" si="6"/>
        <v>0.6</v>
      </c>
      <c r="Y34" s="97">
        <f t="shared" si="18"/>
        <v>2.1818181818181821</v>
      </c>
      <c r="Z34" s="96">
        <f t="shared" si="33"/>
        <v>4.581818181818182</v>
      </c>
      <c r="AA34" s="96">
        <f t="shared" si="19"/>
        <v>1.1481699416358335</v>
      </c>
      <c r="AB34" s="96">
        <v>0</v>
      </c>
      <c r="AC34" s="96">
        <f t="shared" si="20"/>
        <v>1.3182942148760333E-2</v>
      </c>
      <c r="AD34" s="98">
        <f t="shared" si="21"/>
        <v>1.3182942148760333E-2</v>
      </c>
      <c r="AE34" s="97">
        <f t="shared" si="22"/>
        <v>0.55296000000000012</v>
      </c>
      <c r="AF34" s="96">
        <f t="shared" si="23"/>
        <v>1.1481699416358335</v>
      </c>
      <c r="AG34" s="96">
        <f t="shared" si="10"/>
        <v>6.5914710743801667E-3</v>
      </c>
      <c r="AH34" s="96">
        <f t="shared" si="11"/>
        <v>0.82152415833215975</v>
      </c>
      <c r="AI34" s="98">
        <f t="shared" si="24"/>
        <v>0.82811562940653993</v>
      </c>
      <c r="AJ34" s="97">
        <f t="shared" si="25"/>
        <v>1.4400000000000002</v>
      </c>
      <c r="AK34" s="96">
        <f t="shared" si="26"/>
        <v>2.7477052785043492</v>
      </c>
      <c r="AL34" s="96">
        <f t="shared" si="27"/>
        <v>9.3600000000000017E-2</v>
      </c>
      <c r="AM34" s="96">
        <f t="shared" si="14"/>
        <v>4.8104000000000005</v>
      </c>
      <c r="AN34" s="98">
        <f t="shared" si="28"/>
        <v>4.9040000000000008</v>
      </c>
      <c r="AO34" s="97">
        <f t="shared" si="15"/>
        <v>5.2731768595041329E-3</v>
      </c>
      <c r="AP34" s="96">
        <f t="shared" si="16"/>
        <v>0.12150000000000002</v>
      </c>
      <c r="AQ34" s="98">
        <f t="shared" si="29"/>
        <v>8.0999999999999996E-3</v>
      </c>
      <c r="AR34" s="97">
        <f t="shared" si="30"/>
        <v>5.8669888062660442</v>
      </c>
      <c r="AS34" s="96">
        <f t="shared" si="31"/>
        <v>17.28</v>
      </c>
      <c r="AT34" s="98">
        <f t="shared" si="32"/>
        <v>74.653338905673067</v>
      </c>
    </row>
    <row r="35" spans="17:46" x14ac:dyDescent="0.3">
      <c r="Q35" s="32">
        <v>28</v>
      </c>
      <c r="R35" s="97">
        <f t="shared" si="0"/>
        <v>12</v>
      </c>
      <c r="S35" s="96">
        <f t="shared" si="1"/>
        <v>1.4933333333333334</v>
      </c>
      <c r="T35" s="96">
        <f t="shared" si="2"/>
        <v>18</v>
      </c>
      <c r="U35" s="98">
        <f t="shared" si="3"/>
        <v>0.99555555555555564</v>
      </c>
      <c r="V35" s="97">
        <f t="shared" si="4"/>
        <v>2</v>
      </c>
      <c r="W35" s="96">
        <f t="shared" si="5"/>
        <v>0.4</v>
      </c>
      <c r="X35" s="98">
        <f t="shared" si="6"/>
        <v>0.6</v>
      </c>
      <c r="Y35" s="97">
        <f t="shared" si="18"/>
        <v>2.1818181818181821</v>
      </c>
      <c r="Z35" s="96">
        <f t="shared" si="33"/>
        <v>4.6707070707070706</v>
      </c>
      <c r="AA35" s="96">
        <f t="shared" si="19"/>
        <v>1.1780598792394061</v>
      </c>
      <c r="AB35" s="96">
        <v>0</v>
      </c>
      <c r="AC35" s="96">
        <f t="shared" si="20"/>
        <v>1.3878250790735642E-2</v>
      </c>
      <c r="AD35" s="98">
        <f t="shared" si="21"/>
        <v>1.3878250790735642E-2</v>
      </c>
      <c r="AE35" s="97">
        <f t="shared" si="22"/>
        <v>0.59467851851851861</v>
      </c>
      <c r="AF35" s="96">
        <f t="shared" si="23"/>
        <v>1.1780598792394061</v>
      </c>
      <c r="AG35" s="96">
        <f t="shared" si="10"/>
        <v>6.9391253953678209E-3</v>
      </c>
      <c r="AH35" s="96">
        <f t="shared" si="11"/>
        <v>0.85195097901112848</v>
      </c>
      <c r="AI35" s="98">
        <f t="shared" si="24"/>
        <v>0.85889010440649627</v>
      </c>
      <c r="AJ35" s="97">
        <f t="shared" si="25"/>
        <v>1.4933333333333334</v>
      </c>
      <c r="AK35" s="96">
        <f t="shared" si="26"/>
        <v>2.8154908407993515</v>
      </c>
      <c r="AL35" s="96">
        <f t="shared" si="27"/>
        <v>9.7066666666666676E-2</v>
      </c>
      <c r="AM35" s="96">
        <f t="shared" si="14"/>
        <v>4.8104000000000005</v>
      </c>
      <c r="AN35" s="98">
        <f t="shared" si="28"/>
        <v>4.9074666666666671</v>
      </c>
      <c r="AO35" s="97">
        <f t="shared" si="15"/>
        <v>5.5513003162942567E-3</v>
      </c>
      <c r="AP35" s="96">
        <f t="shared" si="16"/>
        <v>0.12150000000000002</v>
      </c>
      <c r="AQ35" s="98">
        <f t="shared" si="29"/>
        <v>8.0999999999999996E-3</v>
      </c>
      <c r="AR35" s="97">
        <f t="shared" si="30"/>
        <v>5.9015080713894577</v>
      </c>
      <c r="AS35" s="96">
        <f t="shared" si="31"/>
        <v>17.920000000000002</v>
      </c>
      <c r="AT35" s="98">
        <f t="shared" si="32"/>
        <v>75.226135752180213</v>
      </c>
    </row>
    <row r="36" spans="17:46" x14ac:dyDescent="0.3">
      <c r="Q36" s="32">
        <v>29</v>
      </c>
      <c r="R36" s="97">
        <f t="shared" si="0"/>
        <v>12</v>
      </c>
      <c r="S36" s="96">
        <f t="shared" si="1"/>
        <v>1.5466666666666669</v>
      </c>
      <c r="T36" s="96">
        <f t="shared" si="2"/>
        <v>18</v>
      </c>
      <c r="U36" s="98">
        <f t="shared" si="3"/>
        <v>1.0311111111111113</v>
      </c>
      <c r="V36" s="97">
        <f t="shared" si="4"/>
        <v>2</v>
      </c>
      <c r="W36" s="96">
        <f t="shared" si="5"/>
        <v>0.4</v>
      </c>
      <c r="X36" s="98">
        <f t="shared" si="6"/>
        <v>0.6</v>
      </c>
      <c r="Y36" s="97">
        <f t="shared" si="18"/>
        <v>2.1818181818181821</v>
      </c>
      <c r="Z36" s="96">
        <f t="shared" si="33"/>
        <v>4.7595959595959609</v>
      </c>
      <c r="AA36" s="96">
        <f t="shared" si="19"/>
        <v>1.2082567352731055</v>
      </c>
      <c r="AB36" s="96">
        <v>0</v>
      </c>
      <c r="AC36" s="96">
        <f t="shared" si="20"/>
        <v>1.4598843383328232E-2</v>
      </c>
      <c r="AD36" s="98">
        <f t="shared" si="21"/>
        <v>1.4598843383328232E-2</v>
      </c>
      <c r="AE36" s="97">
        <f t="shared" si="22"/>
        <v>0.6379140740740743</v>
      </c>
      <c r="AF36" s="96">
        <f t="shared" si="23"/>
        <v>1.2082567352731055</v>
      </c>
      <c r="AG36" s="96">
        <f t="shared" si="10"/>
        <v>7.2994216916641161E-3</v>
      </c>
      <c r="AH36" s="96">
        <f t="shared" si="11"/>
        <v>0.88237779969009755</v>
      </c>
      <c r="AI36" s="98">
        <f t="shared" si="24"/>
        <v>0.88967722138176164</v>
      </c>
      <c r="AJ36" s="97">
        <f t="shared" si="25"/>
        <v>1.5466666666666669</v>
      </c>
      <c r="AK36" s="96">
        <f t="shared" si="26"/>
        <v>2.8833269903378809</v>
      </c>
      <c r="AL36" s="96">
        <f t="shared" si="27"/>
        <v>0.10053333333333335</v>
      </c>
      <c r="AM36" s="96">
        <f t="shared" si="14"/>
        <v>4.8104000000000005</v>
      </c>
      <c r="AN36" s="98">
        <f t="shared" si="28"/>
        <v>4.9109333333333334</v>
      </c>
      <c r="AO36" s="97">
        <f t="shared" si="15"/>
        <v>5.8395373533312936E-3</v>
      </c>
      <c r="AP36" s="96">
        <f t="shared" si="16"/>
        <v>0.12150000000000002</v>
      </c>
      <c r="AQ36" s="98">
        <f t="shared" si="29"/>
        <v>8.0999999999999996E-3</v>
      </c>
      <c r="AR36" s="97">
        <f t="shared" si="30"/>
        <v>5.9360500920684265</v>
      </c>
      <c r="AS36" s="96">
        <f t="shared" si="31"/>
        <v>18.560000000000002</v>
      </c>
      <c r="AT36" s="98">
        <f t="shared" si="32"/>
        <v>75.767317303166109</v>
      </c>
    </row>
    <row r="37" spans="17:46" x14ac:dyDescent="0.3">
      <c r="Q37" s="32">
        <v>30</v>
      </c>
      <c r="R37" s="97">
        <f t="shared" si="0"/>
        <v>12</v>
      </c>
      <c r="S37" s="96">
        <f t="shared" si="1"/>
        <v>1.6</v>
      </c>
      <c r="T37" s="96">
        <f t="shared" si="2"/>
        <v>18</v>
      </c>
      <c r="U37" s="98">
        <f t="shared" si="3"/>
        <v>1.0666666666666669</v>
      </c>
      <c r="V37" s="97">
        <f t="shared" si="4"/>
        <v>2</v>
      </c>
      <c r="W37" s="96">
        <f t="shared" si="5"/>
        <v>0.4</v>
      </c>
      <c r="X37" s="98">
        <f t="shared" si="6"/>
        <v>0.6</v>
      </c>
      <c r="Y37" s="97">
        <f t="shared" si="18"/>
        <v>2.1818181818181821</v>
      </c>
      <c r="Z37" s="96">
        <f t="shared" si="33"/>
        <v>4.8484848484848495</v>
      </c>
      <c r="AA37" s="96">
        <f t="shared" si="19"/>
        <v>1.2387380645858153</v>
      </c>
      <c r="AB37" s="96">
        <v>0</v>
      </c>
      <c r="AC37" s="96">
        <f t="shared" si="20"/>
        <v>1.5344719926538115E-2</v>
      </c>
      <c r="AD37" s="98">
        <f t="shared" si="21"/>
        <v>1.5344719926538115E-2</v>
      </c>
      <c r="AE37" s="97">
        <f t="shared" si="22"/>
        <v>0.68266666666666687</v>
      </c>
      <c r="AF37" s="96">
        <f t="shared" si="23"/>
        <v>1.2387380645858153</v>
      </c>
      <c r="AG37" s="96">
        <f t="shared" si="10"/>
        <v>7.6723599632690575E-3</v>
      </c>
      <c r="AH37" s="96">
        <f t="shared" si="11"/>
        <v>0.9128046203690664</v>
      </c>
      <c r="AI37" s="98">
        <f t="shared" si="24"/>
        <v>0.92047698033233549</v>
      </c>
      <c r="AJ37" s="97">
        <f t="shared" si="25"/>
        <v>1.6</v>
      </c>
      <c r="AK37" s="96">
        <f t="shared" si="26"/>
        <v>2.9512102387458334</v>
      </c>
      <c r="AL37" s="96">
        <f t="shared" si="27"/>
        <v>0.10400000000000001</v>
      </c>
      <c r="AM37" s="96">
        <f t="shared" si="14"/>
        <v>4.8104000000000005</v>
      </c>
      <c r="AN37" s="98">
        <f t="shared" si="28"/>
        <v>4.9144000000000005</v>
      </c>
      <c r="AO37" s="97">
        <f t="shared" si="15"/>
        <v>6.137887970615246E-3</v>
      </c>
      <c r="AP37" s="96">
        <f t="shared" si="16"/>
        <v>0.12150000000000002</v>
      </c>
      <c r="AQ37" s="98">
        <f t="shared" si="29"/>
        <v>8.0999999999999996E-3</v>
      </c>
      <c r="AR37" s="97">
        <f t="shared" si="30"/>
        <v>5.9706148683029507</v>
      </c>
      <c r="AS37" s="96">
        <f t="shared" si="31"/>
        <v>19.200000000000003</v>
      </c>
      <c r="AT37" s="98">
        <f t="shared" si="32"/>
        <v>76.279423845852591</v>
      </c>
    </row>
    <row r="38" spans="17:46" x14ac:dyDescent="0.3">
      <c r="Q38" s="32">
        <v>31</v>
      </c>
      <c r="R38" s="97">
        <f t="shared" si="0"/>
        <v>12</v>
      </c>
      <c r="S38" s="96">
        <f t="shared" si="1"/>
        <v>1.6533333333333335</v>
      </c>
      <c r="T38" s="96">
        <f t="shared" si="2"/>
        <v>18</v>
      </c>
      <c r="U38" s="98">
        <f t="shared" si="3"/>
        <v>1.1022222222222224</v>
      </c>
      <c r="V38" s="97">
        <f t="shared" si="4"/>
        <v>2</v>
      </c>
      <c r="W38" s="96">
        <f t="shared" si="5"/>
        <v>0.4</v>
      </c>
      <c r="X38" s="98">
        <f t="shared" si="6"/>
        <v>0.6</v>
      </c>
      <c r="Y38" s="97">
        <f t="shared" si="18"/>
        <v>2.1818181818181821</v>
      </c>
      <c r="Z38" s="96">
        <f t="shared" si="33"/>
        <v>4.9373737373737381</v>
      </c>
      <c r="AA38" s="96">
        <f t="shared" si="19"/>
        <v>1.2694833760378776</v>
      </c>
      <c r="AB38" s="96">
        <v>0</v>
      </c>
      <c r="AC38" s="96">
        <f t="shared" si="20"/>
        <v>1.6115880420365273E-2</v>
      </c>
      <c r="AD38" s="98">
        <f t="shared" si="21"/>
        <v>1.6115880420365273E-2</v>
      </c>
      <c r="AE38" s="97">
        <f t="shared" si="22"/>
        <v>0.72893629629629653</v>
      </c>
      <c r="AF38" s="96">
        <f t="shared" si="23"/>
        <v>1.2694833760378776</v>
      </c>
      <c r="AG38" s="96">
        <f t="shared" si="10"/>
        <v>8.0579402101826365E-3</v>
      </c>
      <c r="AH38" s="96">
        <f t="shared" si="11"/>
        <v>0.94323144104803525</v>
      </c>
      <c r="AI38" s="98">
        <f t="shared" si="24"/>
        <v>0.95128938125821794</v>
      </c>
      <c r="AJ38" s="97">
        <f t="shared" si="25"/>
        <v>1.6533333333333335</v>
      </c>
      <c r="AK38" s="96">
        <f t="shared" si="26"/>
        <v>3.0191374090668783</v>
      </c>
      <c r="AL38" s="96">
        <f t="shared" si="27"/>
        <v>0.10746666666666668</v>
      </c>
      <c r="AM38" s="96">
        <f t="shared" si="14"/>
        <v>4.8104000000000005</v>
      </c>
      <c r="AN38" s="98">
        <f t="shared" si="28"/>
        <v>4.9178666666666668</v>
      </c>
      <c r="AO38" s="97">
        <f t="shared" si="15"/>
        <v>6.4463521681461097E-3</v>
      </c>
      <c r="AP38" s="96">
        <f t="shared" si="16"/>
        <v>0.12150000000000002</v>
      </c>
      <c r="AQ38" s="98">
        <f t="shared" si="29"/>
        <v>8.0999999999999996E-3</v>
      </c>
      <c r="AR38" s="97">
        <f t="shared" si="30"/>
        <v>6.0052024000930304</v>
      </c>
      <c r="AS38" s="96">
        <f t="shared" si="31"/>
        <v>19.840000000000003</v>
      </c>
      <c r="AT38" s="98">
        <f t="shared" si="32"/>
        <v>76.764730617581037</v>
      </c>
    </row>
    <row r="39" spans="17:46" x14ac:dyDescent="0.3">
      <c r="Q39" s="32">
        <v>32</v>
      </c>
      <c r="R39" s="97">
        <f t="shared" si="0"/>
        <v>12</v>
      </c>
      <c r="S39" s="96">
        <f t="shared" ref="S39:S70" si="34">Q39*$O$12</f>
        <v>1.7066666666666668</v>
      </c>
      <c r="T39" s="96">
        <f t="shared" si="2"/>
        <v>18</v>
      </c>
      <c r="U39" s="98">
        <f t="shared" ref="U39:U70" si="35">(R39*S39)/(T39*EFF_est)</f>
        <v>1.1377777777777778</v>
      </c>
      <c r="V39" s="97">
        <f t="shared" ref="V39:V70" si="36">IF(S39&lt;((T39^2)*R39)/(2*Fsw*Lm*((T39+R39)^2)),1,2)</f>
        <v>2</v>
      </c>
      <c r="W39" s="96">
        <f t="shared" ref="W39:W70" si="37">CHOOSE(V39,SQRT(2*Lm*R39*S39*Fsw)/T39,R39/(T39+R39))</f>
        <v>0.4</v>
      </c>
      <c r="X39" s="98">
        <f t="shared" ref="X39:X70" si="38">CHOOSE(V39,(Lm*Z39*Fsw)/(R39),1-W39)</f>
        <v>0.6</v>
      </c>
      <c r="Y39" s="97">
        <f t="shared" si="18"/>
        <v>2.1818181818181821</v>
      </c>
      <c r="Z39" s="96">
        <f t="shared" si="33"/>
        <v>5.0262626262626267</v>
      </c>
      <c r="AA39" s="96">
        <f t="shared" si="19"/>
        <v>1.3004739468674378</v>
      </c>
      <c r="AB39" s="96">
        <v>0</v>
      </c>
      <c r="AC39" s="96">
        <f t="shared" si="20"/>
        <v>1.6912324864809713E-2</v>
      </c>
      <c r="AD39" s="98">
        <f t="shared" si="21"/>
        <v>1.6912324864809713E-2</v>
      </c>
      <c r="AE39" s="97">
        <f t="shared" si="22"/>
        <v>0.77672296296296306</v>
      </c>
      <c r="AF39" s="96">
        <f t="shared" si="23"/>
        <v>1.3004739468674378</v>
      </c>
      <c r="AG39" s="96">
        <f t="shared" ref="AG39:AG70" si="39">(AF39^2)*RDS_on</f>
        <v>8.4561624324048564E-3</v>
      </c>
      <c r="AH39" s="96">
        <f t="shared" ref="AH39:AH70" si="40">(((R39+T39)*(U39+S39))/2)*Fsw*(tr_sw+tf_sw)</f>
        <v>0.97365826172700398</v>
      </c>
      <c r="AI39" s="98">
        <f t="shared" si="24"/>
        <v>0.98211442415940886</v>
      </c>
      <c r="AJ39" s="97">
        <f t="shared" si="25"/>
        <v>1.7066666666666668</v>
      </c>
      <c r="AK39" s="96">
        <f t="shared" si="26"/>
        <v>3.0871056019931298</v>
      </c>
      <c r="AL39" s="96">
        <f t="shared" si="27"/>
        <v>0.11093333333333334</v>
      </c>
      <c r="AM39" s="96">
        <f t="shared" ref="AM39:AM70" si="41">(R39+T39+Vd_rect)*Qrr*Fsw</f>
        <v>4.8104000000000005</v>
      </c>
      <c r="AN39" s="98">
        <f t="shared" si="28"/>
        <v>4.921333333333334</v>
      </c>
      <c r="AO39" s="97">
        <f t="shared" ref="AO39:AO70" si="42">(AF39^2)*R_cs</f>
        <v>6.7649299459238855E-3</v>
      </c>
      <c r="AP39" s="96">
        <f t="shared" si="16"/>
        <v>0.12150000000000002</v>
      </c>
      <c r="AQ39" s="98">
        <f t="shared" si="29"/>
        <v>8.0999999999999996E-3</v>
      </c>
      <c r="AR39" s="97">
        <f t="shared" si="30"/>
        <v>6.0398126874386673</v>
      </c>
      <c r="AS39" s="96">
        <f t="shared" si="31"/>
        <v>20.48</v>
      </c>
      <c r="AT39" s="98">
        <f t="shared" si="32"/>
        <v>77.225281495674082</v>
      </c>
    </row>
    <row r="40" spans="17:46" x14ac:dyDescent="0.3">
      <c r="Q40" s="32">
        <v>33</v>
      </c>
      <c r="R40" s="97">
        <f t="shared" si="0"/>
        <v>12</v>
      </c>
      <c r="S40" s="96">
        <f t="shared" si="34"/>
        <v>1.76</v>
      </c>
      <c r="T40" s="96">
        <f t="shared" si="2"/>
        <v>18</v>
      </c>
      <c r="U40" s="98">
        <f t="shared" si="35"/>
        <v>1.1733333333333333</v>
      </c>
      <c r="V40" s="97">
        <f t="shared" si="36"/>
        <v>2</v>
      </c>
      <c r="W40" s="96">
        <f t="shared" si="37"/>
        <v>0.4</v>
      </c>
      <c r="X40" s="98">
        <f t="shared" si="38"/>
        <v>0.6</v>
      </c>
      <c r="Y40" s="97">
        <f t="shared" si="18"/>
        <v>2.1818181818181821</v>
      </c>
      <c r="Z40" s="96">
        <f t="shared" si="33"/>
        <v>5.1151515151515152</v>
      </c>
      <c r="AA40" s="96">
        <f t="shared" si="19"/>
        <v>1.3316926544766792</v>
      </c>
      <c r="AB40" s="96">
        <v>0</v>
      </c>
      <c r="AC40" s="96">
        <f t="shared" si="20"/>
        <v>1.773405325987144E-2</v>
      </c>
      <c r="AD40" s="98">
        <f t="shared" si="21"/>
        <v>1.773405325987144E-2</v>
      </c>
      <c r="AE40" s="97">
        <f t="shared" si="22"/>
        <v>0.82602666666666669</v>
      </c>
      <c r="AF40" s="96">
        <f t="shared" si="23"/>
        <v>1.3316926544766792</v>
      </c>
      <c r="AG40" s="96">
        <f t="shared" si="39"/>
        <v>8.86702662993572E-3</v>
      </c>
      <c r="AH40" s="96">
        <f t="shared" si="40"/>
        <v>1.0040850824059728</v>
      </c>
      <c r="AI40" s="98">
        <f t="shared" si="24"/>
        <v>1.0129521090359086</v>
      </c>
      <c r="AJ40" s="97">
        <f t="shared" si="25"/>
        <v>1.76</v>
      </c>
      <c r="AK40" s="96">
        <f t="shared" si="26"/>
        <v>3.155112166368915</v>
      </c>
      <c r="AL40" s="96">
        <f t="shared" si="27"/>
        <v>0.1144</v>
      </c>
      <c r="AM40" s="96">
        <f t="shared" si="41"/>
        <v>4.8104000000000005</v>
      </c>
      <c r="AN40" s="98">
        <f t="shared" si="28"/>
        <v>4.9248000000000003</v>
      </c>
      <c r="AO40" s="97">
        <f t="shared" si="42"/>
        <v>7.093621303948576E-3</v>
      </c>
      <c r="AP40" s="96">
        <f t="shared" si="16"/>
        <v>0.12150000000000002</v>
      </c>
      <c r="AQ40" s="98">
        <f t="shared" si="29"/>
        <v>8.0999999999999996E-3</v>
      </c>
      <c r="AR40" s="97">
        <f t="shared" si="30"/>
        <v>6.0744457303398578</v>
      </c>
      <c r="AS40" s="96">
        <f t="shared" si="31"/>
        <v>21.12</v>
      </c>
      <c r="AT40" s="98">
        <f t="shared" si="32"/>
        <v>77.662917676006103</v>
      </c>
    </row>
    <row r="41" spans="17:46" x14ac:dyDescent="0.3">
      <c r="Q41" s="32">
        <v>34</v>
      </c>
      <c r="R41" s="97">
        <f t="shared" si="0"/>
        <v>12</v>
      </c>
      <c r="S41" s="96">
        <f t="shared" si="34"/>
        <v>1.8133333333333335</v>
      </c>
      <c r="T41" s="96">
        <f t="shared" si="2"/>
        <v>18</v>
      </c>
      <c r="U41" s="98">
        <f t="shared" si="35"/>
        <v>1.2088888888888889</v>
      </c>
      <c r="V41" s="97">
        <f t="shared" si="36"/>
        <v>2</v>
      </c>
      <c r="W41" s="96">
        <f t="shared" si="37"/>
        <v>0.4</v>
      </c>
      <c r="X41" s="98">
        <f t="shared" si="38"/>
        <v>0.6</v>
      </c>
      <c r="Y41" s="97">
        <f t="shared" si="18"/>
        <v>2.1818181818181821</v>
      </c>
      <c r="Z41" s="96">
        <f t="shared" si="33"/>
        <v>5.2040404040404038</v>
      </c>
      <c r="AA41" s="96">
        <f t="shared" si="19"/>
        <v>1.363123824366314</v>
      </c>
      <c r="AB41" s="96">
        <v>0</v>
      </c>
      <c r="AC41" s="96">
        <f t="shared" si="20"/>
        <v>1.8581065605550454E-2</v>
      </c>
      <c r="AD41" s="98">
        <f t="shared" si="21"/>
        <v>1.8581065605550454E-2</v>
      </c>
      <c r="AE41" s="97">
        <f t="shared" si="22"/>
        <v>0.87684740740740752</v>
      </c>
      <c r="AF41" s="96">
        <f t="shared" si="23"/>
        <v>1.363123824366314</v>
      </c>
      <c r="AG41" s="96">
        <f t="shared" si="39"/>
        <v>9.2905328027752272E-3</v>
      </c>
      <c r="AH41" s="96">
        <f t="shared" si="40"/>
        <v>1.0345119030849415</v>
      </c>
      <c r="AI41" s="98">
        <f t="shared" si="24"/>
        <v>1.0438024358877167</v>
      </c>
      <c r="AJ41" s="97">
        <f t="shared" si="25"/>
        <v>1.8133333333333335</v>
      </c>
      <c r="AK41" s="96">
        <f t="shared" si="26"/>
        <v>3.223154673353795</v>
      </c>
      <c r="AL41" s="96">
        <f t="shared" si="27"/>
        <v>0.11786666666666668</v>
      </c>
      <c r="AM41" s="96">
        <f t="shared" si="41"/>
        <v>4.8104000000000005</v>
      </c>
      <c r="AN41" s="98">
        <f t="shared" si="28"/>
        <v>4.9282666666666675</v>
      </c>
      <c r="AO41" s="97">
        <f t="shared" si="42"/>
        <v>7.4324262422201821E-3</v>
      </c>
      <c r="AP41" s="96">
        <f t="shared" si="16"/>
        <v>0.12150000000000002</v>
      </c>
      <c r="AQ41" s="98">
        <f t="shared" si="29"/>
        <v>8.0999999999999996E-3</v>
      </c>
      <c r="AR41" s="97">
        <f t="shared" si="30"/>
        <v>6.1091015287966037</v>
      </c>
      <c r="AS41" s="96">
        <f t="shared" si="31"/>
        <v>21.76</v>
      </c>
      <c r="AT41" s="98">
        <f t="shared" si="32"/>
        <v>78.079302188898396</v>
      </c>
    </row>
    <row r="42" spans="17:46" x14ac:dyDescent="0.3">
      <c r="Q42" s="32">
        <v>35</v>
      </c>
      <c r="R42" s="97">
        <f t="shared" si="0"/>
        <v>12</v>
      </c>
      <c r="S42" s="96">
        <f t="shared" si="34"/>
        <v>1.8666666666666667</v>
      </c>
      <c r="T42" s="96">
        <f t="shared" si="2"/>
        <v>18</v>
      </c>
      <c r="U42" s="98">
        <f t="shared" si="35"/>
        <v>1.2444444444444445</v>
      </c>
      <c r="V42" s="97">
        <f t="shared" si="36"/>
        <v>2</v>
      </c>
      <c r="W42" s="96">
        <f t="shared" si="37"/>
        <v>0.4</v>
      </c>
      <c r="X42" s="98">
        <f t="shared" si="38"/>
        <v>0.6</v>
      </c>
      <c r="Y42" s="97">
        <f t="shared" si="18"/>
        <v>2.1818181818181821</v>
      </c>
      <c r="Z42" s="96">
        <f t="shared" si="33"/>
        <v>5.2929292929292933</v>
      </c>
      <c r="AA42" s="96">
        <f t="shared" si="19"/>
        <v>1.3947530929109551</v>
      </c>
      <c r="AB42" s="96">
        <v>0</v>
      </c>
      <c r="AC42" s="96">
        <f t="shared" si="20"/>
        <v>1.9453361901846752E-2</v>
      </c>
      <c r="AD42" s="98">
        <f t="shared" si="21"/>
        <v>1.9453361901846752E-2</v>
      </c>
      <c r="AE42" s="97">
        <f t="shared" si="22"/>
        <v>0.92918518518518534</v>
      </c>
      <c r="AF42" s="96">
        <f t="shared" si="23"/>
        <v>1.3947530929109551</v>
      </c>
      <c r="AG42" s="96">
        <f t="shared" si="39"/>
        <v>9.7266809509233762E-3</v>
      </c>
      <c r="AH42" s="96">
        <f t="shared" si="40"/>
        <v>1.0649387237639105</v>
      </c>
      <c r="AI42" s="98">
        <f t="shared" si="24"/>
        <v>1.0746654047148338</v>
      </c>
      <c r="AJ42" s="97">
        <f t="shared" si="25"/>
        <v>1.8666666666666667</v>
      </c>
      <c r="AK42" s="96">
        <f t="shared" si="26"/>
        <v>3.2912308937291472</v>
      </c>
      <c r="AL42" s="96">
        <f t="shared" si="27"/>
        <v>0.12133333333333333</v>
      </c>
      <c r="AM42" s="96">
        <f t="shared" si="41"/>
        <v>4.8104000000000005</v>
      </c>
      <c r="AN42" s="98">
        <f t="shared" si="28"/>
        <v>4.9317333333333337</v>
      </c>
      <c r="AO42" s="97">
        <f t="shared" si="42"/>
        <v>7.7813447607387011E-3</v>
      </c>
      <c r="AP42" s="96">
        <f t="shared" si="16"/>
        <v>0.12150000000000002</v>
      </c>
      <c r="AQ42" s="98">
        <f t="shared" si="29"/>
        <v>8.0999999999999996E-3</v>
      </c>
      <c r="AR42" s="97">
        <f t="shared" si="30"/>
        <v>6.143780082808906</v>
      </c>
      <c r="AS42" s="96">
        <f t="shared" si="31"/>
        <v>22.4</v>
      </c>
      <c r="AT42" s="98">
        <f t="shared" si="32"/>
        <v>78.475940940600481</v>
      </c>
    </row>
    <row r="43" spans="17:46" x14ac:dyDescent="0.3">
      <c r="Q43" s="32">
        <v>36</v>
      </c>
      <c r="R43" s="97">
        <f t="shared" si="0"/>
        <v>12</v>
      </c>
      <c r="S43" s="96">
        <f t="shared" si="34"/>
        <v>1.9200000000000002</v>
      </c>
      <c r="T43" s="96">
        <f t="shared" si="2"/>
        <v>18</v>
      </c>
      <c r="U43" s="98">
        <f t="shared" si="35"/>
        <v>1.2800000000000002</v>
      </c>
      <c r="V43" s="97">
        <f t="shared" si="36"/>
        <v>2</v>
      </c>
      <c r="W43" s="96">
        <f t="shared" si="37"/>
        <v>0.4</v>
      </c>
      <c r="X43" s="98">
        <f t="shared" si="38"/>
        <v>0.6</v>
      </c>
      <c r="Y43" s="97">
        <f t="shared" si="18"/>
        <v>2.1818181818181821</v>
      </c>
      <c r="Z43" s="96">
        <f t="shared" si="33"/>
        <v>5.3818181818181827</v>
      </c>
      <c r="AA43" s="96">
        <f t="shared" si="19"/>
        <v>1.42656728368347</v>
      </c>
      <c r="AB43" s="96">
        <v>0</v>
      </c>
      <c r="AC43" s="96">
        <f t="shared" si="20"/>
        <v>2.0350942148760338E-2</v>
      </c>
      <c r="AD43" s="98">
        <f t="shared" si="21"/>
        <v>2.0350942148760338E-2</v>
      </c>
      <c r="AE43" s="97">
        <f t="shared" si="22"/>
        <v>0.98304000000000036</v>
      </c>
      <c r="AF43" s="96">
        <f t="shared" si="23"/>
        <v>1.42656728368347</v>
      </c>
      <c r="AG43" s="96">
        <f t="shared" si="39"/>
        <v>1.0175471074380169E-2</v>
      </c>
      <c r="AH43" s="96">
        <f t="shared" si="40"/>
        <v>1.0953655444428794</v>
      </c>
      <c r="AI43" s="98">
        <f t="shared" si="24"/>
        <v>1.1055410155172596</v>
      </c>
      <c r="AJ43" s="97">
        <f t="shared" si="25"/>
        <v>1.9200000000000002</v>
      </c>
      <c r="AK43" s="96">
        <f t="shared" si="26"/>
        <v>3.3593387779135035</v>
      </c>
      <c r="AL43" s="96">
        <f t="shared" si="27"/>
        <v>0.12480000000000001</v>
      </c>
      <c r="AM43" s="96">
        <f t="shared" si="41"/>
        <v>4.8104000000000005</v>
      </c>
      <c r="AN43" s="98">
        <f t="shared" si="28"/>
        <v>4.9352</v>
      </c>
      <c r="AO43" s="97">
        <f t="shared" si="42"/>
        <v>8.1403768595041358E-3</v>
      </c>
      <c r="AP43" s="96">
        <f t="shared" si="16"/>
        <v>0.12150000000000002</v>
      </c>
      <c r="AQ43" s="98">
        <f t="shared" si="29"/>
        <v>8.0999999999999996E-3</v>
      </c>
      <c r="AR43" s="97">
        <f t="shared" si="30"/>
        <v>6.1784813923767636</v>
      </c>
      <c r="AS43" s="96">
        <f t="shared" si="31"/>
        <v>23.040000000000003</v>
      </c>
      <c r="AT43" s="98">
        <f t="shared" si="32"/>
        <v>78.854200841564762</v>
      </c>
    </row>
    <row r="44" spans="17:46" x14ac:dyDescent="0.3">
      <c r="Q44" s="32">
        <v>37</v>
      </c>
      <c r="R44" s="97">
        <f t="shared" si="0"/>
        <v>12</v>
      </c>
      <c r="S44" s="96">
        <f t="shared" si="34"/>
        <v>1.9733333333333334</v>
      </c>
      <c r="T44" s="96">
        <f t="shared" si="2"/>
        <v>18</v>
      </c>
      <c r="U44" s="98">
        <f t="shared" si="35"/>
        <v>1.3155555555555556</v>
      </c>
      <c r="V44" s="97">
        <f t="shared" si="36"/>
        <v>2</v>
      </c>
      <c r="W44" s="96">
        <f t="shared" si="37"/>
        <v>0.4</v>
      </c>
      <c r="X44" s="98">
        <f t="shared" si="38"/>
        <v>0.6</v>
      </c>
      <c r="Y44" s="97">
        <f t="shared" si="18"/>
        <v>2.1818181818181821</v>
      </c>
      <c r="Z44" s="96">
        <f t="shared" si="33"/>
        <v>5.4707070707070713</v>
      </c>
      <c r="AA44" s="96">
        <f t="shared" si="19"/>
        <v>1.4585542960853803</v>
      </c>
      <c r="AB44" s="96">
        <v>0</v>
      </c>
      <c r="AC44" s="96">
        <f t="shared" si="20"/>
        <v>2.1273806346291196E-2</v>
      </c>
      <c r="AD44" s="98">
        <f t="shared" si="21"/>
        <v>2.1273806346291196E-2</v>
      </c>
      <c r="AE44" s="97">
        <f t="shared" si="22"/>
        <v>1.0384118518518519</v>
      </c>
      <c r="AF44" s="96">
        <f t="shared" si="23"/>
        <v>1.4585542960853803</v>
      </c>
      <c r="AG44" s="96">
        <f t="shared" si="39"/>
        <v>1.0636903173145598E-2</v>
      </c>
      <c r="AH44" s="96">
        <f t="shared" si="40"/>
        <v>1.1257923651218482</v>
      </c>
      <c r="AI44" s="98">
        <f t="shared" si="24"/>
        <v>1.1364292682949939</v>
      </c>
      <c r="AJ44" s="97">
        <f t="shared" si="25"/>
        <v>1.9733333333333334</v>
      </c>
      <c r="AK44" s="96">
        <f t="shared" si="26"/>
        <v>3.4274764383188838</v>
      </c>
      <c r="AL44" s="96">
        <f t="shared" si="27"/>
        <v>0.12826666666666667</v>
      </c>
      <c r="AM44" s="96">
        <f t="shared" si="41"/>
        <v>4.8104000000000005</v>
      </c>
      <c r="AN44" s="98">
        <f t="shared" si="28"/>
        <v>4.9386666666666672</v>
      </c>
      <c r="AO44" s="97">
        <f t="shared" si="42"/>
        <v>8.5095225385164782E-3</v>
      </c>
      <c r="AP44" s="96">
        <f t="shared" si="16"/>
        <v>0.12150000000000002</v>
      </c>
      <c r="AQ44" s="98">
        <f t="shared" si="29"/>
        <v>8.0999999999999996E-3</v>
      </c>
      <c r="AR44" s="97">
        <f t="shared" si="30"/>
        <v>6.2132054575001776</v>
      </c>
      <c r="AS44" s="96">
        <f t="shared" si="31"/>
        <v>23.68</v>
      </c>
      <c r="AT44" s="98">
        <f t="shared" si="32"/>
        <v>79.215325481458905</v>
      </c>
    </row>
    <row r="45" spans="17:46" x14ac:dyDescent="0.3">
      <c r="Q45" s="32">
        <v>38</v>
      </c>
      <c r="R45" s="97">
        <f t="shared" si="0"/>
        <v>12</v>
      </c>
      <c r="S45" s="96">
        <f t="shared" si="34"/>
        <v>2.0266666666666668</v>
      </c>
      <c r="T45" s="96">
        <f t="shared" si="2"/>
        <v>18</v>
      </c>
      <c r="U45" s="98">
        <f t="shared" si="35"/>
        <v>1.3511111111111112</v>
      </c>
      <c r="V45" s="97">
        <f t="shared" si="36"/>
        <v>2</v>
      </c>
      <c r="W45" s="96">
        <f t="shared" si="37"/>
        <v>0.4</v>
      </c>
      <c r="X45" s="98">
        <f t="shared" si="38"/>
        <v>0.6</v>
      </c>
      <c r="Y45" s="97">
        <f t="shared" si="18"/>
        <v>2.1818181818181821</v>
      </c>
      <c r="Z45" s="96">
        <f t="shared" si="33"/>
        <v>5.5595959595959599</v>
      </c>
      <c r="AA45" s="96">
        <f t="shared" si="19"/>
        <v>1.4907030051099832</v>
      </c>
      <c r="AB45" s="96">
        <v>0</v>
      </c>
      <c r="AC45" s="96">
        <f t="shared" si="20"/>
        <v>2.2221954494439346E-2</v>
      </c>
      <c r="AD45" s="98">
        <f t="shared" si="21"/>
        <v>2.2221954494439346E-2</v>
      </c>
      <c r="AE45" s="97">
        <f t="shared" si="22"/>
        <v>1.0953007407407409</v>
      </c>
      <c r="AF45" s="96">
        <f t="shared" si="23"/>
        <v>1.4907030051099832</v>
      </c>
      <c r="AG45" s="96">
        <f t="shared" si="39"/>
        <v>1.1110977247219673E-2</v>
      </c>
      <c r="AH45" s="96">
        <f t="shared" si="40"/>
        <v>1.1562191858008173</v>
      </c>
      <c r="AI45" s="98">
        <f t="shared" si="24"/>
        <v>1.1673301630480371</v>
      </c>
      <c r="AJ45" s="97">
        <f t="shared" si="25"/>
        <v>2.0266666666666668</v>
      </c>
      <c r="AK45" s="96">
        <f t="shared" si="26"/>
        <v>3.4956421337359882</v>
      </c>
      <c r="AL45" s="96">
        <f t="shared" si="27"/>
        <v>0.13173333333333334</v>
      </c>
      <c r="AM45" s="96">
        <f t="shared" si="41"/>
        <v>4.8104000000000005</v>
      </c>
      <c r="AN45" s="98">
        <f t="shared" si="28"/>
        <v>4.9421333333333335</v>
      </c>
      <c r="AO45" s="97">
        <f t="shared" si="42"/>
        <v>8.8887817977757379E-3</v>
      </c>
      <c r="AP45" s="96">
        <f t="shared" si="16"/>
        <v>0.12150000000000002</v>
      </c>
      <c r="AQ45" s="98">
        <f t="shared" si="29"/>
        <v>8.0999999999999996E-3</v>
      </c>
      <c r="AR45" s="97">
        <f t="shared" si="30"/>
        <v>6.2479522781791461</v>
      </c>
      <c r="AS45" s="96">
        <f t="shared" si="31"/>
        <v>24.32</v>
      </c>
      <c r="AT45" s="98">
        <f t="shared" si="32"/>
        <v>79.560448729700383</v>
      </c>
    </row>
    <row r="46" spans="17:46" x14ac:dyDescent="0.3">
      <c r="Q46" s="32">
        <v>39</v>
      </c>
      <c r="R46" s="97">
        <f t="shared" si="0"/>
        <v>12</v>
      </c>
      <c r="S46" s="96">
        <f t="shared" si="34"/>
        <v>2.08</v>
      </c>
      <c r="T46" s="96">
        <f t="shared" si="2"/>
        <v>18</v>
      </c>
      <c r="U46" s="98">
        <f t="shared" si="35"/>
        <v>1.3866666666666667</v>
      </c>
      <c r="V46" s="97">
        <f t="shared" si="36"/>
        <v>2</v>
      </c>
      <c r="W46" s="96">
        <f t="shared" si="37"/>
        <v>0.4</v>
      </c>
      <c r="X46" s="98">
        <f t="shared" si="38"/>
        <v>0.6</v>
      </c>
      <c r="Y46" s="97">
        <f t="shared" si="18"/>
        <v>2.1818181818181821</v>
      </c>
      <c r="Z46" s="96">
        <f t="shared" si="33"/>
        <v>5.6484848484848484</v>
      </c>
      <c r="AA46" s="96">
        <f t="shared" si="19"/>
        <v>1.5230031711459033</v>
      </c>
      <c r="AB46" s="96">
        <v>0</v>
      </c>
      <c r="AC46" s="96">
        <f t="shared" si="20"/>
        <v>2.3195386593204779E-2</v>
      </c>
      <c r="AD46" s="98">
        <f t="shared" si="21"/>
        <v>2.3195386593204779E-2</v>
      </c>
      <c r="AE46" s="97">
        <f t="shared" si="22"/>
        <v>1.1537066666666669</v>
      </c>
      <c r="AF46" s="96">
        <f t="shared" si="23"/>
        <v>1.5230031711459033</v>
      </c>
      <c r="AG46" s="96">
        <f t="shared" si="39"/>
        <v>1.1597693296602389E-2</v>
      </c>
      <c r="AH46" s="96">
        <f t="shared" si="40"/>
        <v>1.1866460064797861</v>
      </c>
      <c r="AI46" s="98">
        <f t="shared" si="24"/>
        <v>1.1982436997763886</v>
      </c>
      <c r="AJ46" s="97">
        <f t="shared" si="25"/>
        <v>2.08</v>
      </c>
      <c r="AK46" s="96">
        <f t="shared" si="26"/>
        <v>3.5638342554825644</v>
      </c>
      <c r="AL46" s="96">
        <f t="shared" si="27"/>
        <v>0.13520000000000001</v>
      </c>
      <c r="AM46" s="96">
        <f t="shared" si="41"/>
        <v>4.8104000000000005</v>
      </c>
      <c r="AN46" s="98">
        <f t="shared" si="28"/>
        <v>4.9456000000000007</v>
      </c>
      <c r="AO46" s="97">
        <f t="shared" si="42"/>
        <v>9.2781546372819115E-3</v>
      </c>
      <c r="AP46" s="96">
        <f t="shared" si="16"/>
        <v>0.12150000000000002</v>
      </c>
      <c r="AQ46" s="98">
        <f t="shared" si="29"/>
        <v>8.0999999999999996E-3</v>
      </c>
      <c r="AR46" s="97">
        <f t="shared" si="30"/>
        <v>6.2827218544136709</v>
      </c>
      <c r="AS46" s="96">
        <f t="shared" si="31"/>
        <v>24.96</v>
      </c>
      <c r="AT46" s="98">
        <f t="shared" si="32"/>
        <v>79.890606574900218</v>
      </c>
    </row>
    <row r="47" spans="17:46" x14ac:dyDescent="0.3">
      <c r="Q47" s="32">
        <v>40</v>
      </c>
      <c r="R47" s="97">
        <f t="shared" si="0"/>
        <v>12</v>
      </c>
      <c r="S47" s="96">
        <f t="shared" si="34"/>
        <v>2.1333333333333333</v>
      </c>
      <c r="T47" s="96">
        <f t="shared" si="2"/>
        <v>18</v>
      </c>
      <c r="U47" s="98">
        <f t="shared" si="35"/>
        <v>1.4222222222222223</v>
      </c>
      <c r="V47" s="97">
        <f t="shared" si="36"/>
        <v>2</v>
      </c>
      <c r="W47" s="96">
        <f t="shared" si="37"/>
        <v>0.4</v>
      </c>
      <c r="X47" s="98">
        <f t="shared" si="38"/>
        <v>0.6</v>
      </c>
      <c r="Y47" s="97">
        <f t="shared" si="18"/>
        <v>2.1818181818181821</v>
      </c>
      <c r="Z47" s="96">
        <f t="shared" si="33"/>
        <v>5.737373737373737</v>
      </c>
      <c r="AA47" s="96">
        <f t="shared" si="19"/>
        <v>1.5554453588148796</v>
      </c>
      <c r="AB47" s="96">
        <v>0</v>
      </c>
      <c r="AC47" s="96">
        <f t="shared" si="20"/>
        <v>2.4194102642587496E-2</v>
      </c>
      <c r="AD47" s="98">
        <f t="shared" si="21"/>
        <v>2.4194102642587496E-2</v>
      </c>
      <c r="AE47" s="97">
        <f t="shared" si="22"/>
        <v>1.2136296296296298</v>
      </c>
      <c r="AF47" s="96">
        <f t="shared" si="23"/>
        <v>1.5554453588148796</v>
      </c>
      <c r="AG47" s="96">
        <f t="shared" si="39"/>
        <v>1.2097051321293748E-2</v>
      </c>
      <c r="AH47" s="96">
        <f t="shared" si="40"/>
        <v>1.2170728271587548</v>
      </c>
      <c r="AI47" s="98">
        <f t="shared" si="24"/>
        <v>1.2291698784800484</v>
      </c>
      <c r="AJ47" s="97">
        <f t="shared" si="25"/>
        <v>2.1333333333333333</v>
      </c>
      <c r="AK47" s="96">
        <f t="shared" si="26"/>
        <v>3.6320513150880891</v>
      </c>
      <c r="AL47" s="96">
        <f t="shared" si="27"/>
        <v>0.13866666666666666</v>
      </c>
      <c r="AM47" s="96">
        <f t="shared" si="41"/>
        <v>4.8104000000000005</v>
      </c>
      <c r="AN47" s="98">
        <f t="shared" si="28"/>
        <v>4.9490666666666669</v>
      </c>
      <c r="AO47" s="97">
        <f t="shared" si="42"/>
        <v>9.677641057034999E-3</v>
      </c>
      <c r="AP47" s="96">
        <f t="shared" si="16"/>
        <v>0.12150000000000002</v>
      </c>
      <c r="AQ47" s="98">
        <f t="shared" si="29"/>
        <v>8.0999999999999996E-3</v>
      </c>
      <c r="AR47" s="97">
        <f t="shared" si="30"/>
        <v>6.3175141862037503</v>
      </c>
      <c r="AS47" s="96">
        <f t="shared" si="31"/>
        <v>25.6</v>
      </c>
      <c r="AT47" s="98">
        <f t="shared" si="32"/>
        <v>80.206747463640269</v>
      </c>
    </row>
    <row r="48" spans="17:46" x14ac:dyDescent="0.3">
      <c r="Q48" s="32">
        <v>41</v>
      </c>
      <c r="R48" s="97">
        <f t="shared" si="0"/>
        <v>12</v>
      </c>
      <c r="S48" s="96">
        <f t="shared" si="34"/>
        <v>2.186666666666667</v>
      </c>
      <c r="T48" s="96">
        <f t="shared" si="2"/>
        <v>18</v>
      </c>
      <c r="U48" s="98">
        <f t="shared" si="35"/>
        <v>1.4577777777777778</v>
      </c>
      <c r="V48" s="97">
        <f t="shared" si="36"/>
        <v>2</v>
      </c>
      <c r="W48" s="96">
        <f t="shared" si="37"/>
        <v>0.4</v>
      </c>
      <c r="X48" s="98">
        <f t="shared" si="38"/>
        <v>0.6</v>
      </c>
      <c r="Y48" s="97">
        <f t="shared" si="18"/>
        <v>2.1818181818181821</v>
      </c>
      <c r="Z48" s="96">
        <f t="shared" si="33"/>
        <v>5.8262626262626274</v>
      </c>
      <c r="AA48" s="96">
        <f t="shared" si="19"/>
        <v>1.5880208639242588</v>
      </c>
      <c r="AB48" s="96">
        <v>0</v>
      </c>
      <c r="AC48" s="96">
        <f t="shared" si="20"/>
        <v>2.5218102642587496E-2</v>
      </c>
      <c r="AD48" s="98">
        <f t="shared" si="21"/>
        <v>2.5218102642587496E-2</v>
      </c>
      <c r="AE48" s="97">
        <f t="shared" si="22"/>
        <v>1.27506962962963</v>
      </c>
      <c r="AF48" s="96">
        <f t="shared" si="23"/>
        <v>1.5880208639242588</v>
      </c>
      <c r="AG48" s="96">
        <f t="shared" si="39"/>
        <v>1.2609051321293748E-2</v>
      </c>
      <c r="AH48" s="96">
        <f t="shared" si="40"/>
        <v>1.2474996478377238</v>
      </c>
      <c r="AI48" s="98">
        <f t="shared" si="24"/>
        <v>1.2601086991590176</v>
      </c>
      <c r="AJ48" s="97">
        <f t="shared" si="25"/>
        <v>2.186666666666667</v>
      </c>
      <c r="AK48" s="96">
        <f t="shared" si="26"/>
        <v>3.7002919333205</v>
      </c>
      <c r="AL48" s="96">
        <f t="shared" si="27"/>
        <v>0.14213333333333336</v>
      </c>
      <c r="AM48" s="96">
        <f t="shared" si="41"/>
        <v>4.8104000000000005</v>
      </c>
      <c r="AN48" s="98">
        <f t="shared" si="28"/>
        <v>4.9525333333333341</v>
      </c>
      <c r="AO48" s="97">
        <f t="shared" si="42"/>
        <v>1.0087241057034999E-2</v>
      </c>
      <c r="AP48" s="96">
        <f t="shared" si="16"/>
        <v>0.12150000000000002</v>
      </c>
      <c r="AQ48" s="98">
        <f t="shared" si="29"/>
        <v>8.0999999999999996E-3</v>
      </c>
      <c r="AR48" s="97">
        <f t="shared" si="30"/>
        <v>6.3523292735493868</v>
      </c>
      <c r="AS48" s="96">
        <f t="shared" si="31"/>
        <v>26.240000000000002</v>
      </c>
      <c r="AT48" s="98">
        <f t="shared" si="32"/>
        <v>80.509741355906471</v>
      </c>
    </row>
    <row r="49" spans="17:46" x14ac:dyDescent="0.3">
      <c r="Q49" s="32">
        <v>42</v>
      </c>
      <c r="R49" s="97">
        <f t="shared" si="0"/>
        <v>12</v>
      </c>
      <c r="S49" s="96">
        <f t="shared" si="34"/>
        <v>2.2400000000000002</v>
      </c>
      <c r="T49" s="96">
        <f t="shared" si="2"/>
        <v>18</v>
      </c>
      <c r="U49" s="98">
        <f t="shared" si="35"/>
        <v>1.4933333333333334</v>
      </c>
      <c r="V49" s="97">
        <f t="shared" si="36"/>
        <v>2</v>
      </c>
      <c r="W49" s="96">
        <f t="shared" si="37"/>
        <v>0.4</v>
      </c>
      <c r="X49" s="98">
        <f t="shared" si="38"/>
        <v>0.6</v>
      </c>
      <c r="Y49" s="97">
        <f t="shared" si="18"/>
        <v>2.1818181818181821</v>
      </c>
      <c r="Z49" s="96">
        <f t="shared" si="33"/>
        <v>5.9151515151515159</v>
      </c>
      <c r="AA49" s="96">
        <f t="shared" si="19"/>
        <v>1.6207216476990975</v>
      </c>
      <c r="AB49" s="96">
        <v>0</v>
      </c>
      <c r="AC49" s="96">
        <f t="shared" si="20"/>
        <v>2.6267386593204777E-2</v>
      </c>
      <c r="AD49" s="98">
        <f t="shared" si="21"/>
        <v>2.6267386593204777E-2</v>
      </c>
      <c r="AE49" s="97">
        <f t="shared" si="22"/>
        <v>1.3380266666666669</v>
      </c>
      <c r="AF49" s="96">
        <f t="shared" si="23"/>
        <v>1.6207216476990975</v>
      </c>
      <c r="AG49" s="96">
        <f t="shared" si="39"/>
        <v>1.3133693296602389E-2</v>
      </c>
      <c r="AH49" s="96">
        <f t="shared" si="40"/>
        <v>1.2779264685166927</v>
      </c>
      <c r="AI49" s="98">
        <f t="shared" si="24"/>
        <v>1.2910601618132951</v>
      </c>
      <c r="AJ49" s="97">
        <f t="shared" si="25"/>
        <v>2.2400000000000002</v>
      </c>
      <c r="AK49" s="96">
        <f t="shared" si="26"/>
        <v>3.7685548303881529</v>
      </c>
      <c r="AL49" s="96">
        <f t="shared" si="27"/>
        <v>0.14560000000000001</v>
      </c>
      <c r="AM49" s="96">
        <f t="shared" si="41"/>
        <v>4.8104000000000005</v>
      </c>
      <c r="AN49" s="98">
        <f t="shared" si="28"/>
        <v>4.9560000000000004</v>
      </c>
      <c r="AO49" s="97">
        <f t="shared" si="42"/>
        <v>1.0506954637281912E-2</v>
      </c>
      <c r="AP49" s="96">
        <f t="shared" si="16"/>
        <v>0.12150000000000002</v>
      </c>
      <c r="AQ49" s="98">
        <f t="shared" si="29"/>
        <v>8.0999999999999996E-3</v>
      </c>
      <c r="AR49" s="97">
        <f t="shared" si="30"/>
        <v>6.387167116450577</v>
      </c>
      <c r="AS49" s="96">
        <f t="shared" si="31"/>
        <v>26.880000000000003</v>
      </c>
      <c r="AT49" s="98">
        <f t="shared" si="32"/>
        <v>80.800387679261902</v>
      </c>
    </row>
    <row r="50" spans="17:46" x14ac:dyDescent="0.3">
      <c r="Q50" s="32">
        <v>43</v>
      </c>
      <c r="R50" s="97">
        <f t="shared" si="0"/>
        <v>12</v>
      </c>
      <c r="S50" s="96">
        <f t="shared" si="34"/>
        <v>2.2933333333333334</v>
      </c>
      <c r="T50" s="96">
        <f t="shared" si="2"/>
        <v>18</v>
      </c>
      <c r="U50" s="98">
        <f t="shared" si="35"/>
        <v>1.528888888888889</v>
      </c>
      <c r="V50" s="97">
        <f t="shared" si="36"/>
        <v>2</v>
      </c>
      <c r="W50" s="96">
        <f t="shared" si="37"/>
        <v>0.4</v>
      </c>
      <c r="X50" s="98">
        <f t="shared" si="38"/>
        <v>0.6</v>
      </c>
      <c r="Y50" s="97">
        <f t="shared" si="18"/>
        <v>2.1818181818181821</v>
      </c>
      <c r="Z50" s="96">
        <f t="shared" si="33"/>
        <v>6.0040404040404045</v>
      </c>
      <c r="AA50" s="96">
        <f t="shared" si="19"/>
        <v>1.6535402775390549</v>
      </c>
      <c r="AB50" s="96">
        <v>0</v>
      </c>
      <c r="AC50" s="96">
        <f t="shared" si="20"/>
        <v>2.7341954494439349E-2</v>
      </c>
      <c r="AD50" s="98">
        <f t="shared" si="21"/>
        <v>2.7341954494439349E-2</v>
      </c>
      <c r="AE50" s="97">
        <f t="shared" si="22"/>
        <v>1.402500740740741</v>
      </c>
      <c r="AF50" s="96">
        <f t="shared" si="23"/>
        <v>1.6535402775390549</v>
      </c>
      <c r="AG50" s="96">
        <f t="shared" si="39"/>
        <v>1.3670977247219674E-2</v>
      </c>
      <c r="AH50" s="96">
        <f t="shared" si="40"/>
        <v>1.3083532891956615</v>
      </c>
      <c r="AI50" s="98">
        <f t="shared" si="24"/>
        <v>1.3220242664428812</v>
      </c>
      <c r="AJ50" s="97">
        <f t="shared" si="25"/>
        <v>2.2933333333333334</v>
      </c>
      <c r="AK50" s="96">
        <f t="shared" si="26"/>
        <v>3.8368388171733869</v>
      </c>
      <c r="AL50" s="96">
        <f t="shared" si="27"/>
        <v>0.14906666666666668</v>
      </c>
      <c r="AM50" s="96">
        <f t="shared" si="41"/>
        <v>4.8104000000000005</v>
      </c>
      <c r="AN50" s="98">
        <f t="shared" si="28"/>
        <v>4.9594666666666676</v>
      </c>
      <c r="AO50" s="97">
        <f t="shared" si="42"/>
        <v>1.0936781797775739E-2</v>
      </c>
      <c r="AP50" s="96">
        <f t="shared" si="16"/>
        <v>0.12150000000000002</v>
      </c>
      <c r="AQ50" s="98">
        <f t="shared" si="29"/>
        <v>8.0999999999999996E-3</v>
      </c>
      <c r="AR50" s="97">
        <f t="shared" si="30"/>
        <v>6.4220277149073244</v>
      </c>
      <c r="AS50" s="96">
        <f t="shared" si="31"/>
        <v>27.520000000000003</v>
      </c>
      <c r="AT50" s="98">
        <f t="shared" si="32"/>
        <v>81.079422334904365</v>
      </c>
    </row>
    <row r="51" spans="17:46" x14ac:dyDescent="0.3">
      <c r="Q51" s="32">
        <v>44</v>
      </c>
      <c r="R51" s="97">
        <f t="shared" si="0"/>
        <v>12</v>
      </c>
      <c r="S51" s="96">
        <f t="shared" si="34"/>
        <v>2.3466666666666667</v>
      </c>
      <c r="T51" s="96">
        <f t="shared" si="2"/>
        <v>18</v>
      </c>
      <c r="U51" s="98">
        <f t="shared" si="35"/>
        <v>1.5644444444444445</v>
      </c>
      <c r="V51" s="97">
        <f t="shared" si="36"/>
        <v>2</v>
      </c>
      <c r="W51" s="96">
        <f t="shared" si="37"/>
        <v>0.4</v>
      </c>
      <c r="X51" s="98">
        <f t="shared" si="38"/>
        <v>0.6</v>
      </c>
      <c r="Y51" s="97">
        <f t="shared" si="18"/>
        <v>2.1818181818181821</v>
      </c>
      <c r="Z51" s="96">
        <f t="shared" si="33"/>
        <v>6.0929292929292931</v>
      </c>
      <c r="AA51" s="96">
        <f t="shared" si="19"/>
        <v>1.6864698736203738</v>
      </c>
      <c r="AB51" s="96">
        <v>0</v>
      </c>
      <c r="AC51" s="96">
        <f t="shared" si="20"/>
        <v>2.8441806346291197E-2</v>
      </c>
      <c r="AD51" s="98">
        <f t="shared" si="21"/>
        <v>2.8441806346291197E-2</v>
      </c>
      <c r="AE51" s="97">
        <f t="shared" si="22"/>
        <v>1.4684918518518519</v>
      </c>
      <c r="AF51" s="96">
        <f t="shared" si="23"/>
        <v>1.6864698736203738</v>
      </c>
      <c r="AG51" s="96">
        <f t="shared" si="39"/>
        <v>1.4220903173145599E-2</v>
      </c>
      <c r="AH51" s="96">
        <f t="shared" si="40"/>
        <v>1.3387801098746306</v>
      </c>
      <c r="AI51" s="98">
        <f t="shared" si="24"/>
        <v>1.3530010130477761</v>
      </c>
      <c r="AJ51" s="97">
        <f t="shared" si="25"/>
        <v>2.3466666666666667</v>
      </c>
      <c r="AK51" s="96">
        <f t="shared" si="26"/>
        <v>3.9051427873736642</v>
      </c>
      <c r="AL51" s="96">
        <f t="shared" si="27"/>
        <v>0.15253333333333333</v>
      </c>
      <c r="AM51" s="96">
        <f t="shared" si="41"/>
        <v>4.8104000000000005</v>
      </c>
      <c r="AN51" s="98">
        <f t="shared" si="28"/>
        <v>4.9629333333333339</v>
      </c>
      <c r="AO51" s="97">
        <f t="shared" si="42"/>
        <v>1.1376722538516479E-2</v>
      </c>
      <c r="AP51" s="96">
        <f t="shared" si="16"/>
        <v>0.12150000000000002</v>
      </c>
      <c r="AQ51" s="98">
        <f t="shared" si="29"/>
        <v>8.0999999999999996E-3</v>
      </c>
      <c r="AR51" s="97">
        <f t="shared" si="30"/>
        <v>6.4569110689196263</v>
      </c>
      <c r="AS51" s="96">
        <f t="shared" si="31"/>
        <v>28.16</v>
      </c>
      <c r="AT51" s="98">
        <f t="shared" si="32"/>
        <v>81.347523884888489</v>
      </c>
    </row>
    <row r="52" spans="17:46" x14ac:dyDescent="0.3">
      <c r="Q52" s="32">
        <v>45</v>
      </c>
      <c r="R52" s="97">
        <f t="shared" si="0"/>
        <v>12</v>
      </c>
      <c r="S52" s="96">
        <f t="shared" si="34"/>
        <v>2.4000000000000004</v>
      </c>
      <c r="T52" s="96">
        <f t="shared" si="2"/>
        <v>18</v>
      </c>
      <c r="U52" s="98">
        <f t="shared" si="35"/>
        <v>1.6000000000000003</v>
      </c>
      <c r="V52" s="97">
        <f t="shared" si="36"/>
        <v>2</v>
      </c>
      <c r="W52" s="96">
        <f t="shared" si="37"/>
        <v>0.4</v>
      </c>
      <c r="X52" s="98">
        <f t="shared" si="38"/>
        <v>0.6</v>
      </c>
      <c r="Y52" s="97">
        <f t="shared" si="18"/>
        <v>2.1818181818181821</v>
      </c>
      <c r="Z52" s="96">
        <f t="shared" si="33"/>
        <v>6.1818181818181834</v>
      </c>
      <c r="AA52" s="96">
        <f t="shared" si="19"/>
        <v>1.7195040607326386</v>
      </c>
      <c r="AB52" s="96">
        <v>0</v>
      </c>
      <c r="AC52" s="96">
        <f t="shared" si="20"/>
        <v>2.9566942148760336E-2</v>
      </c>
      <c r="AD52" s="98">
        <f t="shared" si="21"/>
        <v>2.9566942148760336E-2</v>
      </c>
      <c r="AE52" s="97">
        <f t="shared" si="22"/>
        <v>1.5360000000000005</v>
      </c>
      <c r="AF52" s="96">
        <f t="shared" si="23"/>
        <v>1.7195040607326386</v>
      </c>
      <c r="AG52" s="96">
        <f t="shared" si="39"/>
        <v>1.4783471074380168E-2</v>
      </c>
      <c r="AH52" s="96">
        <f t="shared" si="40"/>
        <v>1.3692069305535997</v>
      </c>
      <c r="AI52" s="98">
        <f t="shared" si="24"/>
        <v>1.3839904016279798</v>
      </c>
      <c r="AJ52" s="97">
        <f t="shared" si="25"/>
        <v>2.4000000000000004</v>
      </c>
      <c r="AK52" s="96">
        <f t="shared" si="26"/>
        <v>3.9734657104429787</v>
      </c>
      <c r="AL52" s="96">
        <f t="shared" si="27"/>
        <v>0.15600000000000003</v>
      </c>
      <c r="AM52" s="96">
        <f t="shared" si="41"/>
        <v>4.8104000000000005</v>
      </c>
      <c r="AN52" s="98">
        <f t="shared" si="28"/>
        <v>4.9664000000000001</v>
      </c>
      <c r="AO52" s="97">
        <f t="shared" si="42"/>
        <v>1.1826776859504135E-2</v>
      </c>
      <c r="AP52" s="96">
        <f t="shared" si="16"/>
        <v>0.12150000000000002</v>
      </c>
      <c r="AQ52" s="98">
        <f t="shared" si="29"/>
        <v>8.0999999999999996E-3</v>
      </c>
      <c r="AR52" s="97">
        <f t="shared" si="30"/>
        <v>6.4918171784874836</v>
      </c>
      <c r="AS52" s="96">
        <f t="shared" si="31"/>
        <v>28.800000000000004</v>
      </c>
      <c r="AT52" s="98">
        <f t="shared" si="32"/>
        <v>81.605319030031012</v>
      </c>
    </row>
    <row r="53" spans="17:46" x14ac:dyDescent="0.3">
      <c r="Q53" s="32">
        <v>46</v>
      </c>
      <c r="R53" s="97">
        <f t="shared" si="0"/>
        <v>12</v>
      </c>
      <c r="S53" s="96">
        <f t="shared" si="34"/>
        <v>2.4533333333333336</v>
      </c>
      <c r="T53" s="96">
        <f t="shared" si="2"/>
        <v>18</v>
      </c>
      <c r="U53" s="98">
        <f t="shared" si="35"/>
        <v>1.6355555555555559</v>
      </c>
      <c r="V53" s="97">
        <f t="shared" si="36"/>
        <v>2</v>
      </c>
      <c r="W53" s="96">
        <f t="shared" si="37"/>
        <v>0.4</v>
      </c>
      <c r="X53" s="98">
        <f t="shared" si="38"/>
        <v>0.6</v>
      </c>
      <c r="Y53" s="97">
        <f t="shared" si="18"/>
        <v>2.1818181818181821</v>
      </c>
      <c r="Z53" s="96">
        <f t="shared" si="33"/>
        <v>6.270707070707072</v>
      </c>
      <c r="AA53" s="96">
        <f t="shared" si="19"/>
        <v>1.7526369248035019</v>
      </c>
      <c r="AB53" s="96">
        <v>0</v>
      </c>
      <c r="AC53" s="96">
        <f t="shared" si="20"/>
        <v>3.0717361901846763E-2</v>
      </c>
      <c r="AD53" s="98">
        <f t="shared" si="21"/>
        <v>3.0717361901846763E-2</v>
      </c>
      <c r="AE53" s="97">
        <f t="shared" si="22"/>
        <v>1.6050251851851858</v>
      </c>
      <c r="AF53" s="96">
        <f t="shared" si="23"/>
        <v>1.7526369248035019</v>
      </c>
      <c r="AG53" s="96">
        <f t="shared" si="39"/>
        <v>1.5358680950923381E-2</v>
      </c>
      <c r="AH53" s="96">
        <f t="shared" si="40"/>
        <v>1.3996337512325683</v>
      </c>
      <c r="AI53" s="98">
        <f t="shared" si="24"/>
        <v>1.4149924321834917</v>
      </c>
      <c r="AJ53" s="97">
        <f t="shared" si="25"/>
        <v>2.4533333333333336</v>
      </c>
      <c r="AK53" s="96">
        <f t="shared" si="26"/>
        <v>4.0418066252403966</v>
      </c>
      <c r="AL53" s="96">
        <f t="shared" si="27"/>
        <v>0.1594666666666667</v>
      </c>
      <c r="AM53" s="96">
        <f t="shared" si="41"/>
        <v>4.8104000000000005</v>
      </c>
      <c r="AN53" s="98">
        <f t="shared" si="28"/>
        <v>4.9698666666666673</v>
      </c>
      <c r="AO53" s="97">
        <f t="shared" si="42"/>
        <v>1.2286944760738704E-2</v>
      </c>
      <c r="AP53" s="96">
        <f t="shared" si="16"/>
        <v>0.12150000000000002</v>
      </c>
      <c r="AQ53" s="98">
        <f t="shared" si="29"/>
        <v>8.0999999999999996E-3</v>
      </c>
      <c r="AR53" s="97">
        <f t="shared" si="30"/>
        <v>6.5267460436108973</v>
      </c>
      <c r="AS53" s="96">
        <f t="shared" si="31"/>
        <v>29.440000000000005</v>
      </c>
      <c r="AT53" s="98">
        <f t="shared" si="32"/>
        <v>81.85338747159112</v>
      </c>
    </row>
    <row r="54" spans="17:46" x14ac:dyDescent="0.3">
      <c r="Q54" s="32">
        <v>47</v>
      </c>
      <c r="R54" s="97">
        <f t="shared" si="0"/>
        <v>12</v>
      </c>
      <c r="S54" s="96">
        <f t="shared" si="34"/>
        <v>2.5066666666666668</v>
      </c>
      <c r="T54" s="96">
        <f t="shared" si="2"/>
        <v>18</v>
      </c>
      <c r="U54" s="98">
        <f t="shared" si="35"/>
        <v>1.6711111111111112</v>
      </c>
      <c r="V54" s="97">
        <f t="shared" si="36"/>
        <v>2</v>
      </c>
      <c r="W54" s="96">
        <f t="shared" si="37"/>
        <v>0.4</v>
      </c>
      <c r="X54" s="98">
        <f t="shared" si="38"/>
        <v>0.6</v>
      </c>
      <c r="Y54" s="97">
        <f t="shared" si="18"/>
        <v>2.1818181818181821</v>
      </c>
      <c r="Z54" s="96">
        <f t="shared" si="33"/>
        <v>6.3595959595959606</v>
      </c>
      <c r="AA54" s="96">
        <f t="shared" si="19"/>
        <v>1.7858629736222893</v>
      </c>
      <c r="AB54" s="96">
        <v>0</v>
      </c>
      <c r="AC54" s="96">
        <f t="shared" si="20"/>
        <v>3.1893065605550455E-2</v>
      </c>
      <c r="AD54" s="98">
        <f t="shared" si="21"/>
        <v>3.1893065605550455E-2</v>
      </c>
      <c r="AE54" s="97">
        <f t="shared" si="22"/>
        <v>1.6755674074074076</v>
      </c>
      <c r="AF54" s="96">
        <f t="shared" si="23"/>
        <v>1.7858629736222893</v>
      </c>
      <c r="AG54" s="96">
        <f t="shared" si="39"/>
        <v>1.5946532802775228E-2</v>
      </c>
      <c r="AH54" s="96">
        <f t="shared" si="40"/>
        <v>1.4300605719115371</v>
      </c>
      <c r="AI54" s="98">
        <f t="shared" si="24"/>
        <v>1.4460071047143124</v>
      </c>
      <c r="AJ54" s="97">
        <f t="shared" si="25"/>
        <v>2.5066666666666668</v>
      </c>
      <c r="AK54" s="96">
        <f t="shared" si="26"/>
        <v>4.1101646343047733</v>
      </c>
      <c r="AL54" s="96">
        <f t="shared" si="27"/>
        <v>0.16293333333333335</v>
      </c>
      <c r="AM54" s="96">
        <f t="shared" si="41"/>
        <v>4.8104000000000005</v>
      </c>
      <c r="AN54" s="98">
        <f t="shared" si="28"/>
        <v>4.9733333333333336</v>
      </c>
      <c r="AO54" s="97">
        <f t="shared" si="42"/>
        <v>1.2757226242220183E-2</v>
      </c>
      <c r="AP54" s="96">
        <f t="shared" si="16"/>
        <v>0.12150000000000002</v>
      </c>
      <c r="AQ54" s="98">
        <f t="shared" si="29"/>
        <v>8.0999999999999996E-3</v>
      </c>
      <c r="AR54" s="97">
        <f t="shared" si="30"/>
        <v>6.5616976642898663</v>
      </c>
      <c r="AS54" s="96">
        <f t="shared" si="31"/>
        <v>30.080000000000002</v>
      </c>
      <c r="AT54" s="98">
        <f t="shared" si="32"/>
        <v>82.092266236111826</v>
      </c>
    </row>
    <row r="55" spans="17:46" x14ac:dyDescent="0.3">
      <c r="Q55" s="32">
        <v>48</v>
      </c>
      <c r="R55" s="97">
        <f t="shared" si="0"/>
        <v>12</v>
      </c>
      <c r="S55" s="96">
        <f t="shared" si="34"/>
        <v>2.56</v>
      </c>
      <c r="T55" s="96">
        <f t="shared" si="2"/>
        <v>18</v>
      </c>
      <c r="U55" s="98">
        <f t="shared" si="35"/>
        <v>1.7066666666666666</v>
      </c>
      <c r="V55" s="97">
        <f t="shared" si="36"/>
        <v>2</v>
      </c>
      <c r="W55" s="96">
        <f t="shared" si="37"/>
        <v>0.4</v>
      </c>
      <c r="X55" s="98">
        <f t="shared" si="38"/>
        <v>0.6</v>
      </c>
      <c r="Y55" s="97">
        <f t="shared" si="18"/>
        <v>2.1818181818181821</v>
      </c>
      <c r="Z55" s="96">
        <f t="shared" si="33"/>
        <v>6.4484848484848492</v>
      </c>
      <c r="AA55" s="96">
        <f t="shared" si="19"/>
        <v>1.8191771013255262</v>
      </c>
      <c r="AB55" s="96">
        <v>0</v>
      </c>
      <c r="AC55" s="96">
        <f t="shared" si="20"/>
        <v>3.3094053259871442E-2</v>
      </c>
      <c r="AD55" s="98">
        <f t="shared" si="21"/>
        <v>3.3094053259871442E-2</v>
      </c>
      <c r="AE55" s="97">
        <f t="shared" si="22"/>
        <v>1.7476266666666669</v>
      </c>
      <c r="AF55" s="96">
        <f t="shared" si="23"/>
        <v>1.8191771013255262</v>
      </c>
      <c r="AG55" s="96">
        <f t="shared" si="39"/>
        <v>1.6547026629935721E-2</v>
      </c>
      <c r="AH55" s="96">
        <f t="shared" si="40"/>
        <v>1.460487392590506</v>
      </c>
      <c r="AI55" s="98">
        <f t="shared" si="24"/>
        <v>1.4770344192204417</v>
      </c>
      <c r="AJ55" s="97">
        <f t="shared" si="25"/>
        <v>2.56</v>
      </c>
      <c r="AK55" s="96">
        <f t="shared" si="26"/>
        <v>4.1785388986850052</v>
      </c>
      <c r="AL55" s="96">
        <f t="shared" si="27"/>
        <v>0.16640000000000002</v>
      </c>
      <c r="AM55" s="96">
        <f t="shared" si="41"/>
        <v>4.8104000000000005</v>
      </c>
      <c r="AN55" s="98">
        <f t="shared" si="28"/>
        <v>4.9768000000000008</v>
      </c>
      <c r="AO55" s="97">
        <f t="shared" si="42"/>
        <v>1.3237621303948576E-2</v>
      </c>
      <c r="AP55" s="96">
        <f t="shared" si="16"/>
        <v>0.12150000000000002</v>
      </c>
      <c r="AQ55" s="98">
        <f t="shared" si="29"/>
        <v>8.0999999999999996E-3</v>
      </c>
      <c r="AR55" s="97">
        <f t="shared" si="30"/>
        <v>6.5966720405243908</v>
      </c>
      <c r="AS55" s="96">
        <f t="shared" si="31"/>
        <v>30.72</v>
      </c>
      <c r="AT55" s="98">
        <f t="shared" si="32"/>
        <v>82.322453531331334</v>
      </c>
    </row>
    <row r="56" spans="17:46" x14ac:dyDescent="0.3">
      <c r="Q56" s="32">
        <v>49</v>
      </c>
      <c r="R56" s="97">
        <f t="shared" si="0"/>
        <v>12</v>
      </c>
      <c r="S56" s="96">
        <f t="shared" si="34"/>
        <v>2.6133333333333333</v>
      </c>
      <c r="T56" s="96">
        <f t="shared" si="2"/>
        <v>18</v>
      </c>
      <c r="U56" s="98">
        <f t="shared" si="35"/>
        <v>1.7422222222222221</v>
      </c>
      <c r="V56" s="97">
        <f t="shared" si="36"/>
        <v>2</v>
      </c>
      <c r="W56" s="96">
        <f t="shared" si="37"/>
        <v>0.4</v>
      </c>
      <c r="X56" s="98">
        <f t="shared" si="38"/>
        <v>0.6</v>
      </c>
      <c r="Y56" s="97">
        <f t="shared" si="18"/>
        <v>2.1818181818181821</v>
      </c>
      <c r="Z56" s="96">
        <f t="shared" si="33"/>
        <v>6.5373737373737377</v>
      </c>
      <c r="AA56" s="96">
        <f t="shared" si="19"/>
        <v>1.8525745562543416</v>
      </c>
      <c r="AB56" s="96">
        <v>0</v>
      </c>
      <c r="AC56" s="96">
        <f t="shared" si="20"/>
        <v>3.4320324864809709E-2</v>
      </c>
      <c r="AD56" s="98">
        <f t="shared" si="21"/>
        <v>3.4320324864809709E-2</v>
      </c>
      <c r="AE56" s="97">
        <f t="shared" si="22"/>
        <v>1.8212029629629631</v>
      </c>
      <c r="AF56" s="96">
        <f t="shared" si="23"/>
        <v>1.8525745562543416</v>
      </c>
      <c r="AG56" s="96">
        <f t="shared" si="39"/>
        <v>1.7160162432404855E-2</v>
      </c>
      <c r="AH56" s="96">
        <f t="shared" si="40"/>
        <v>1.4909142132694746</v>
      </c>
      <c r="AI56" s="98">
        <f t="shared" si="24"/>
        <v>1.5080743757018795</v>
      </c>
      <c r="AJ56" s="97">
        <f t="shared" si="25"/>
        <v>2.6133333333333333</v>
      </c>
      <c r="AK56" s="96">
        <f t="shared" si="26"/>
        <v>4.2469286332641829</v>
      </c>
      <c r="AL56" s="96">
        <f t="shared" si="27"/>
        <v>0.16986666666666667</v>
      </c>
      <c r="AM56" s="96">
        <f t="shared" si="41"/>
        <v>4.8104000000000005</v>
      </c>
      <c r="AN56" s="98">
        <f t="shared" si="28"/>
        <v>4.9802666666666671</v>
      </c>
      <c r="AO56" s="97">
        <f t="shared" si="42"/>
        <v>1.3728129945923885E-2</v>
      </c>
      <c r="AP56" s="96">
        <f t="shared" si="16"/>
        <v>0.12150000000000002</v>
      </c>
      <c r="AQ56" s="98">
        <f t="shared" si="29"/>
        <v>8.0999999999999996E-3</v>
      </c>
      <c r="AR56" s="97">
        <f t="shared" si="30"/>
        <v>6.6316691723144707</v>
      </c>
      <c r="AS56" s="96">
        <f t="shared" si="31"/>
        <v>31.36</v>
      </c>
      <c r="AT56" s="98">
        <f t="shared" si="32"/>
        <v>82.54441219143078</v>
      </c>
    </row>
    <row r="57" spans="17:46" x14ac:dyDescent="0.3">
      <c r="Q57" s="32">
        <v>50</v>
      </c>
      <c r="R57" s="97">
        <f t="shared" si="0"/>
        <v>12</v>
      </c>
      <c r="S57" s="96">
        <f t="shared" si="34"/>
        <v>2.666666666666667</v>
      </c>
      <c r="T57" s="96">
        <f t="shared" si="2"/>
        <v>18</v>
      </c>
      <c r="U57" s="98">
        <f t="shared" si="35"/>
        <v>1.7777777777777777</v>
      </c>
      <c r="V57" s="97">
        <f t="shared" si="36"/>
        <v>2</v>
      </c>
      <c r="W57" s="96">
        <f t="shared" si="37"/>
        <v>0.4</v>
      </c>
      <c r="X57" s="98">
        <f t="shared" si="38"/>
        <v>0.6</v>
      </c>
      <c r="Y57" s="97">
        <f t="shared" si="18"/>
        <v>2.1818181818181821</v>
      </c>
      <c r="Z57" s="96">
        <f t="shared" si="33"/>
        <v>6.6262626262626263</v>
      </c>
      <c r="AA57" s="96">
        <f t="shared" si="19"/>
        <v>1.8860509118357667</v>
      </c>
      <c r="AB57" s="96">
        <v>0</v>
      </c>
      <c r="AC57" s="96">
        <f t="shared" si="20"/>
        <v>3.5571880420365271E-2</v>
      </c>
      <c r="AD57" s="98">
        <f t="shared" si="21"/>
        <v>3.5571880420365271E-2</v>
      </c>
      <c r="AE57" s="97">
        <f t="shared" si="22"/>
        <v>1.8962962962962966</v>
      </c>
      <c r="AF57" s="96">
        <f t="shared" si="23"/>
        <v>1.8860509118357667</v>
      </c>
      <c r="AG57" s="96">
        <f t="shared" si="39"/>
        <v>1.7785940210182635E-2</v>
      </c>
      <c r="AH57" s="96">
        <f t="shared" si="40"/>
        <v>1.5213410339484437</v>
      </c>
      <c r="AI57" s="98">
        <f t="shared" si="24"/>
        <v>1.5391269741586262</v>
      </c>
      <c r="AJ57" s="97">
        <f t="shared" si="25"/>
        <v>2.666666666666667</v>
      </c>
      <c r="AK57" s="96">
        <f t="shared" si="26"/>
        <v>4.3153331025236215</v>
      </c>
      <c r="AL57" s="96">
        <f t="shared" si="27"/>
        <v>0.17333333333333337</v>
      </c>
      <c r="AM57" s="96">
        <f t="shared" si="41"/>
        <v>4.8104000000000005</v>
      </c>
      <c r="AN57" s="98">
        <f t="shared" si="28"/>
        <v>4.9837333333333342</v>
      </c>
      <c r="AO57" s="97">
        <f t="shared" si="42"/>
        <v>1.4228752168146107E-2</v>
      </c>
      <c r="AP57" s="96">
        <f t="shared" si="16"/>
        <v>0.12150000000000002</v>
      </c>
      <c r="AQ57" s="98">
        <f t="shared" si="29"/>
        <v>8.0999999999999996E-3</v>
      </c>
      <c r="AR57" s="97">
        <f t="shared" si="30"/>
        <v>6.6666890596601061</v>
      </c>
      <c r="AS57" s="96">
        <f t="shared" si="31"/>
        <v>32</v>
      </c>
      <c r="AT57" s="98">
        <f t="shared" si="32"/>
        <v>82.758572761754039</v>
      </c>
    </row>
    <row r="58" spans="17:46" x14ac:dyDescent="0.3">
      <c r="Q58" s="32">
        <v>51</v>
      </c>
      <c r="R58" s="97">
        <f t="shared" si="0"/>
        <v>12</v>
      </c>
      <c r="S58" s="96">
        <f t="shared" si="34"/>
        <v>2.72</v>
      </c>
      <c r="T58" s="96">
        <f t="shared" si="2"/>
        <v>18</v>
      </c>
      <c r="U58" s="98">
        <f t="shared" si="35"/>
        <v>1.8133333333333335</v>
      </c>
      <c r="V58" s="97">
        <f t="shared" si="36"/>
        <v>2</v>
      </c>
      <c r="W58" s="96">
        <f t="shared" si="37"/>
        <v>0.4</v>
      </c>
      <c r="X58" s="98">
        <f t="shared" si="38"/>
        <v>0.6</v>
      </c>
      <c r="Y58" s="97">
        <f t="shared" si="18"/>
        <v>2.1818181818181821</v>
      </c>
      <c r="Z58" s="96">
        <f t="shared" si="33"/>
        <v>6.7151515151515149</v>
      </c>
      <c r="AA58" s="96">
        <f t="shared" si="19"/>
        <v>1.9196020401775498</v>
      </c>
      <c r="AB58" s="96">
        <v>0</v>
      </c>
      <c r="AC58" s="96">
        <f t="shared" si="20"/>
        <v>3.6848719926538112E-2</v>
      </c>
      <c r="AD58" s="98">
        <f t="shared" si="21"/>
        <v>3.6848719926538112E-2</v>
      </c>
      <c r="AE58" s="97">
        <f t="shared" si="22"/>
        <v>1.9729066666666668</v>
      </c>
      <c r="AF58" s="96">
        <f t="shared" si="23"/>
        <v>1.9196020401775498</v>
      </c>
      <c r="AG58" s="96">
        <f t="shared" si="39"/>
        <v>1.8424359963269056E-2</v>
      </c>
      <c r="AH58" s="96">
        <f t="shared" si="40"/>
        <v>1.5517678546274125</v>
      </c>
      <c r="AI58" s="98">
        <f t="shared" si="24"/>
        <v>1.5701922145906815</v>
      </c>
      <c r="AJ58" s="97">
        <f t="shared" si="25"/>
        <v>2.72</v>
      </c>
      <c r="AK58" s="96">
        <f t="shared" si="26"/>
        <v>4.3837516166993993</v>
      </c>
      <c r="AL58" s="96">
        <f t="shared" si="27"/>
        <v>0.17680000000000001</v>
      </c>
      <c r="AM58" s="96">
        <f t="shared" si="41"/>
        <v>4.8104000000000005</v>
      </c>
      <c r="AN58" s="98">
        <f t="shared" si="28"/>
        <v>4.9872000000000005</v>
      </c>
      <c r="AO58" s="97">
        <f t="shared" si="42"/>
        <v>1.4739487970615245E-2</v>
      </c>
      <c r="AP58" s="96">
        <f t="shared" si="16"/>
        <v>0.12150000000000002</v>
      </c>
      <c r="AQ58" s="98">
        <f t="shared" si="29"/>
        <v>8.0999999999999996E-3</v>
      </c>
      <c r="AR58" s="97">
        <f t="shared" si="30"/>
        <v>6.7017317025612977</v>
      </c>
      <c r="AS58" s="96">
        <f t="shared" si="31"/>
        <v>32.64</v>
      </c>
      <c r="AT58" s="98">
        <f t="shared" si="32"/>
        <v>82.965336266260522</v>
      </c>
    </row>
    <row r="59" spans="17:46" x14ac:dyDescent="0.3">
      <c r="Q59" s="32">
        <v>52</v>
      </c>
      <c r="R59" s="97">
        <f t="shared" si="0"/>
        <v>12</v>
      </c>
      <c r="S59" s="96">
        <f t="shared" si="34"/>
        <v>2.7733333333333334</v>
      </c>
      <c r="T59" s="96">
        <f t="shared" si="2"/>
        <v>18</v>
      </c>
      <c r="U59" s="98">
        <f t="shared" si="35"/>
        <v>1.848888888888889</v>
      </c>
      <c r="V59" s="97">
        <f t="shared" si="36"/>
        <v>2</v>
      </c>
      <c r="W59" s="96">
        <f t="shared" si="37"/>
        <v>0.4</v>
      </c>
      <c r="X59" s="98">
        <f t="shared" si="38"/>
        <v>0.6</v>
      </c>
      <c r="Y59" s="97">
        <f t="shared" si="18"/>
        <v>2.1818181818181821</v>
      </c>
      <c r="Z59" s="96">
        <f t="shared" si="33"/>
        <v>6.8040404040404052</v>
      </c>
      <c r="AA59" s="96">
        <f t="shared" si="19"/>
        <v>1.9532240880996792</v>
      </c>
      <c r="AB59" s="96">
        <v>0</v>
      </c>
      <c r="AC59" s="96">
        <f t="shared" si="20"/>
        <v>3.8150843383328234E-2</v>
      </c>
      <c r="AD59" s="98">
        <f t="shared" si="21"/>
        <v>3.8150843383328234E-2</v>
      </c>
      <c r="AE59" s="97">
        <f t="shared" si="22"/>
        <v>2.0510340740740745</v>
      </c>
      <c r="AF59" s="96">
        <f t="shared" si="23"/>
        <v>1.9532240880996792</v>
      </c>
      <c r="AG59" s="96">
        <f t="shared" si="39"/>
        <v>1.9075421691664117E-2</v>
      </c>
      <c r="AH59" s="96">
        <f t="shared" si="40"/>
        <v>1.5821946753063816</v>
      </c>
      <c r="AI59" s="98">
        <f t="shared" si="24"/>
        <v>1.6012700969980458</v>
      </c>
      <c r="AJ59" s="97">
        <f t="shared" si="25"/>
        <v>2.7733333333333334</v>
      </c>
      <c r="AK59" s="96">
        <f t="shared" si="26"/>
        <v>4.4521835282897468</v>
      </c>
      <c r="AL59" s="96">
        <f t="shared" si="27"/>
        <v>0.18026666666666669</v>
      </c>
      <c r="AM59" s="96">
        <f t="shared" si="41"/>
        <v>4.8104000000000005</v>
      </c>
      <c r="AN59" s="98">
        <f t="shared" si="28"/>
        <v>4.9906666666666668</v>
      </c>
      <c r="AO59" s="97">
        <f t="shared" si="42"/>
        <v>1.5260337353331294E-2</v>
      </c>
      <c r="AP59" s="96">
        <f t="shared" si="16"/>
        <v>0.12150000000000002</v>
      </c>
      <c r="AQ59" s="98">
        <f t="shared" si="29"/>
        <v>8.0999999999999996E-3</v>
      </c>
      <c r="AR59" s="97">
        <f t="shared" si="30"/>
        <v>6.7367971010180439</v>
      </c>
      <c r="AS59" s="96">
        <f t="shared" si="31"/>
        <v>33.28</v>
      </c>
      <c r="AT59" s="98">
        <f t="shared" si="32"/>
        <v>83.165076695139462</v>
      </c>
    </row>
    <row r="60" spans="17:46" x14ac:dyDescent="0.3">
      <c r="Q60" s="32">
        <v>53</v>
      </c>
      <c r="R60" s="97">
        <f t="shared" si="0"/>
        <v>12</v>
      </c>
      <c r="S60" s="96">
        <f t="shared" si="34"/>
        <v>2.8266666666666667</v>
      </c>
      <c r="T60" s="96">
        <f t="shared" si="2"/>
        <v>18</v>
      </c>
      <c r="U60" s="98">
        <f t="shared" si="35"/>
        <v>1.8844444444444446</v>
      </c>
      <c r="V60" s="97">
        <f t="shared" si="36"/>
        <v>2</v>
      </c>
      <c r="W60" s="96">
        <f t="shared" si="37"/>
        <v>0.4</v>
      </c>
      <c r="X60" s="98">
        <f t="shared" si="38"/>
        <v>0.6</v>
      </c>
      <c r="Y60" s="97">
        <f t="shared" si="18"/>
        <v>2.1818181818181821</v>
      </c>
      <c r="Z60" s="96">
        <f t="shared" si="33"/>
        <v>6.8929292929292938</v>
      </c>
      <c r="AA60" s="96">
        <f t="shared" si="19"/>
        <v>1.9869134553557093</v>
      </c>
      <c r="AB60" s="96">
        <v>0</v>
      </c>
      <c r="AC60" s="96">
        <f t="shared" si="20"/>
        <v>3.9478250790735643E-2</v>
      </c>
      <c r="AD60" s="98">
        <f t="shared" si="21"/>
        <v>3.9478250790735643E-2</v>
      </c>
      <c r="AE60" s="97">
        <f t="shared" si="22"/>
        <v>2.1306785185185189</v>
      </c>
      <c r="AF60" s="96">
        <f t="shared" si="23"/>
        <v>1.9869134553557093</v>
      </c>
      <c r="AG60" s="96">
        <f t="shared" si="39"/>
        <v>1.9739125395367822E-2</v>
      </c>
      <c r="AH60" s="96">
        <f t="shared" si="40"/>
        <v>1.6126214959853504</v>
      </c>
      <c r="AI60" s="98">
        <f t="shared" si="24"/>
        <v>1.6323606213807182</v>
      </c>
      <c r="AJ60" s="97">
        <f t="shared" si="25"/>
        <v>2.8266666666666667</v>
      </c>
      <c r="AK60" s="96">
        <f t="shared" si="26"/>
        <v>4.5206282288765962</v>
      </c>
      <c r="AL60" s="96">
        <f t="shared" si="27"/>
        <v>0.18373333333333333</v>
      </c>
      <c r="AM60" s="96">
        <f t="shared" si="41"/>
        <v>4.8104000000000005</v>
      </c>
      <c r="AN60" s="98">
        <f t="shared" si="28"/>
        <v>4.994133333333334</v>
      </c>
      <c r="AO60" s="97">
        <f t="shared" si="42"/>
        <v>1.5791300316294256E-2</v>
      </c>
      <c r="AP60" s="96">
        <f t="shared" si="16"/>
        <v>0.12150000000000002</v>
      </c>
      <c r="AQ60" s="98">
        <f t="shared" si="29"/>
        <v>8.0999999999999996E-3</v>
      </c>
      <c r="AR60" s="97">
        <f t="shared" si="30"/>
        <v>6.7718852550303463</v>
      </c>
      <c r="AS60" s="96">
        <f t="shared" si="31"/>
        <v>33.92</v>
      </c>
      <c r="AT60" s="98">
        <f t="shared" si="32"/>
        <v>83.358143245051039</v>
      </c>
    </row>
    <row r="61" spans="17:46" x14ac:dyDescent="0.3">
      <c r="Q61" s="32">
        <v>54</v>
      </c>
      <c r="R61" s="97">
        <f t="shared" si="0"/>
        <v>12</v>
      </c>
      <c r="S61" s="96">
        <f t="shared" si="34"/>
        <v>2.8800000000000003</v>
      </c>
      <c r="T61" s="96">
        <f t="shared" si="2"/>
        <v>18</v>
      </c>
      <c r="U61" s="98">
        <f t="shared" si="35"/>
        <v>1.9200000000000002</v>
      </c>
      <c r="V61" s="97">
        <f t="shared" si="36"/>
        <v>2</v>
      </c>
      <c r="W61" s="96">
        <f t="shared" si="37"/>
        <v>0.4</v>
      </c>
      <c r="X61" s="98">
        <f t="shared" si="38"/>
        <v>0.6</v>
      </c>
      <c r="Y61" s="97">
        <f t="shared" si="18"/>
        <v>2.1818181818181821</v>
      </c>
      <c r="Z61" s="96">
        <f t="shared" si="33"/>
        <v>6.9818181818181824</v>
      </c>
      <c r="AA61" s="96">
        <f t="shared" si="19"/>
        <v>2.020666774823606</v>
      </c>
      <c r="AB61" s="96">
        <v>0</v>
      </c>
      <c r="AC61" s="96">
        <f t="shared" si="20"/>
        <v>4.0830942148760332E-2</v>
      </c>
      <c r="AD61" s="98">
        <f t="shared" si="21"/>
        <v>4.0830942148760332E-2</v>
      </c>
      <c r="AE61" s="97">
        <f t="shared" si="22"/>
        <v>2.2118400000000005</v>
      </c>
      <c r="AF61" s="96">
        <f t="shared" si="23"/>
        <v>2.020666774823606</v>
      </c>
      <c r="AG61" s="96">
        <f t="shared" si="39"/>
        <v>2.0415471074380166E-2</v>
      </c>
      <c r="AH61" s="96">
        <f t="shared" si="40"/>
        <v>1.6430483166643195</v>
      </c>
      <c r="AI61" s="98">
        <f t="shared" si="24"/>
        <v>1.6634637877386997</v>
      </c>
      <c r="AJ61" s="97">
        <f t="shared" si="25"/>
        <v>2.8800000000000003</v>
      </c>
      <c r="AK61" s="96">
        <f t="shared" si="26"/>
        <v>4.5890851462289133</v>
      </c>
      <c r="AL61" s="96">
        <f t="shared" si="27"/>
        <v>0.18720000000000003</v>
      </c>
      <c r="AM61" s="96">
        <f t="shared" si="41"/>
        <v>4.8104000000000005</v>
      </c>
      <c r="AN61" s="98">
        <f t="shared" si="28"/>
        <v>4.9976000000000003</v>
      </c>
      <c r="AO61" s="97">
        <f t="shared" si="42"/>
        <v>1.6332376859504134E-2</v>
      </c>
      <c r="AP61" s="96">
        <f t="shared" si="16"/>
        <v>0.12150000000000002</v>
      </c>
      <c r="AQ61" s="98">
        <f t="shared" si="29"/>
        <v>8.0999999999999996E-3</v>
      </c>
      <c r="AR61" s="97">
        <f t="shared" si="30"/>
        <v>6.8069961645982033</v>
      </c>
      <c r="AS61" s="96">
        <f t="shared" si="31"/>
        <v>34.56</v>
      </c>
      <c r="AT61" s="98">
        <f t="shared" si="32"/>
        <v>83.544862340225663</v>
      </c>
    </row>
    <row r="62" spans="17:46" x14ac:dyDescent="0.3">
      <c r="Q62" s="32">
        <v>55</v>
      </c>
      <c r="R62" s="97">
        <f t="shared" si="0"/>
        <v>12</v>
      </c>
      <c r="S62" s="96">
        <f t="shared" si="34"/>
        <v>2.9333333333333336</v>
      </c>
      <c r="T62" s="96">
        <f t="shared" si="2"/>
        <v>18</v>
      </c>
      <c r="U62" s="98">
        <f t="shared" si="35"/>
        <v>1.9555555555555557</v>
      </c>
      <c r="V62" s="97">
        <f t="shared" si="36"/>
        <v>2</v>
      </c>
      <c r="W62" s="96">
        <f t="shared" si="37"/>
        <v>0.4</v>
      </c>
      <c r="X62" s="98">
        <f t="shared" si="38"/>
        <v>0.6</v>
      </c>
      <c r="Y62" s="97">
        <f t="shared" si="18"/>
        <v>2.1818181818181821</v>
      </c>
      <c r="Z62" s="96">
        <f t="shared" si="33"/>
        <v>7.0707070707070709</v>
      </c>
      <c r="AA62" s="96">
        <f t="shared" si="19"/>
        <v>2.0544808944695085</v>
      </c>
      <c r="AB62" s="96">
        <v>0</v>
      </c>
      <c r="AC62" s="96">
        <f t="shared" si="20"/>
        <v>4.2208917457402323E-2</v>
      </c>
      <c r="AD62" s="98">
        <f t="shared" si="21"/>
        <v>4.2208917457402323E-2</v>
      </c>
      <c r="AE62" s="97">
        <f t="shared" si="22"/>
        <v>2.2945185185185188</v>
      </c>
      <c r="AF62" s="96">
        <f t="shared" si="23"/>
        <v>2.0544808944695085</v>
      </c>
      <c r="AG62" s="96">
        <f t="shared" si="39"/>
        <v>2.1104458728701161E-2</v>
      </c>
      <c r="AH62" s="96">
        <f t="shared" si="40"/>
        <v>1.6734751373432881</v>
      </c>
      <c r="AI62" s="98">
        <f t="shared" si="24"/>
        <v>1.6945795960719894</v>
      </c>
      <c r="AJ62" s="97">
        <f t="shared" si="25"/>
        <v>2.9333333333333336</v>
      </c>
      <c r="AK62" s="96">
        <f t="shared" si="26"/>
        <v>4.6575537416591573</v>
      </c>
      <c r="AL62" s="96">
        <f t="shared" si="27"/>
        <v>0.19066666666666668</v>
      </c>
      <c r="AM62" s="96">
        <f t="shared" si="41"/>
        <v>4.8104000000000005</v>
      </c>
      <c r="AN62" s="98">
        <f t="shared" si="28"/>
        <v>5.0010666666666674</v>
      </c>
      <c r="AO62" s="97">
        <f t="shared" si="42"/>
        <v>1.6883566982960931E-2</v>
      </c>
      <c r="AP62" s="96">
        <f t="shared" si="16"/>
        <v>0.12150000000000002</v>
      </c>
      <c r="AQ62" s="98">
        <f t="shared" si="29"/>
        <v>8.0999999999999996E-3</v>
      </c>
      <c r="AR62" s="97">
        <f t="shared" si="30"/>
        <v>6.8421298297216175</v>
      </c>
      <c r="AS62" s="96">
        <f t="shared" si="31"/>
        <v>35.200000000000003</v>
      </c>
      <c r="AT62" s="98">
        <f t="shared" si="32"/>
        <v>83.725539459029534</v>
      </c>
    </row>
    <row r="63" spans="17:46" x14ac:dyDescent="0.3">
      <c r="Q63" s="32">
        <v>56</v>
      </c>
      <c r="R63" s="97">
        <f t="shared" si="0"/>
        <v>12</v>
      </c>
      <c r="S63" s="96">
        <f t="shared" si="34"/>
        <v>2.9866666666666668</v>
      </c>
      <c r="T63" s="96">
        <f t="shared" si="2"/>
        <v>18</v>
      </c>
      <c r="U63" s="98">
        <f t="shared" si="35"/>
        <v>1.9911111111111113</v>
      </c>
      <c r="V63" s="97">
        <f t="shared" si="36"/>
        <v>2</v>
      </c>
      <c r="W63" s="96">
        <f t="shared" si="37"/>
        <v>0.4</v>
      </c>
      <c r="X63" s="98">
        <f t="shared" si="38"/>
        <v>0.6</v>
      </c>
      <c r="Y63" s="97">
        <f t="shared" si="18"/>
        <v>2.1818181818181821</v>
      </c>
      <c r="Z63" s="96">
        <f t="shared" si="33"/>
        <v>7.1595959595959595</v>
      </c>
      <c r="AA63" s="96">
        <f t="shared" si="19"/>
        <v>2.0883528609088451</v>
      </c>
      <c r="AB63" s="96">
        <v>0</v>
      </c>
      <c r="AC63" s="96">
        <f t="shared" si="20"/>
        <v>4.361217671666158E-2</v>
      </c>
      <c r="AD63" s="98">
        <f t="shared" si="21"/>
        <v>4.361217671666158E-2</v>
      </c>
      <c r="AE63" s="97">
        <f t="shared" si="22"/>
        <v>2.3787140740740744</v>
      </c>
      <c r="AF63" s="96">
        <f t="shared" si="23"/>
        <v>2.0883528609088451</v>
      </c>
      <c r="AG63" s="96">
        <f t="shared" si="39"/>
        <v>2.180608835833079E-2</v>
      </c>
      <c r="AH63" s="96">
        <f t="shared" si="40"/>
        <v>1.703901958022257</v>
      </c>
      <c r="AI63" s="98">
        <f t="shared" si="24"/>
        <v>1.7257080463805878</v>
      </c>
      <c r="AJ63" s="97">
        <f t="shared" si="25"/>
        <v>2.9866666666666668</v>
      </c>
      <c r="AK63" s="96">
        <f t="shared" si="26"/>
        <v>4.7260335076075242</v>
      </c>
      <c r="AL63" s="96">
        <f t="shared" si="27"/>
        <v>0.19413333333333335</v>
      </c>
      <c r="AM63" s="96">
        <f t="shared" si="41"/>
        <v>4.8104000000000005</v>
      </c>
      <c r="AN63" s="98">
        <f t="shared" si="28"/>
        <v>5.0045333333333337</v>
      </c>
      <c r="AO63" s="97">
        <f t="shared" si="42"/>
        <v>1.7444870686664633E-2</v>
      </c>
      <c r="AP63" s="96">
        <f t="shared" si="16"/>
        <v>0.12150000000000002</v>
      </c>
      <c r="AQ63" s="98">
        <f t="shared" si="29"/>
        <v>8.0999999999999996E-3</v>
      </c>
      <c r="AR63" s="97">
        <f t="shared" si="30"/>
        <v>6.8772862504005854</v>
      </c>
      <c r="AS63" s="96">
        <f t="shared" si="31"/>
        <v>35.840000000000003</v>
      </c>
      <c r="AT63" s="98">
        <f t="shared" si="32"/>
        <v>83.900460787496556</v>
      </c>
    </row>
    <row r="64" spans="17:46" x14ac:dyDescent="0.3">
      <c r="Q64" s="32">
        <v>57</v>
      </c>
      <c r="R64" s="97">
        <f t="shared" si="0"/>
        <v>12</v>
      </c>
      <c r="S64" s="96">
        <f t="shared" si="34"/>
        <v>3.04</v>
      </c>
      <c r="T64" s="96">
        <f t="shared" si="2"/>
        <v>18</v>
      </c>
      <c r="U64" s="98">
        <f t="shared" si="35"/>
        <v>2.0266666666666668</v>
      </c>
      <c r="V64" s="97">
        <f t="shared" si="36"/>
        <v>2</v>
      </c>
      <c r="W64" s="96">
        <f t="shared" si="37"/>
        <v>0.4</v>
      </c>
      <c r="X64" s="98">
        <f t="shared" si="38"/>
        <v>0.6</v>
      </c>
      <c r="Y64" s="97">
        <f t="shared" si="18"/>
        <v>2.1818181818181821</v>
      </c>
      <c r="Z64" s="96">
        <f t="shared" si="33"/>
        <v>7.2484848484848481</v>
      </c>
      <c r="AA64" s="96">
        <f t="shared" si="19"/>
        <v>2.1222799044079488</v>
      </c>
      <c r="AB64" s="96">
        <v>0</v>
      </c>
      <c r="AC64" s="96">
        <f t="shared" si="20"/>
        <v>4.5040719926538124E-2</v>
      </c>
      <c r="AD64" s="98">
        <f t="shared" si="21"/>
        <v>4.5040719926538124E-2</v>
      </c>
      <c r="AE64" s="97">
        <f t="shared" si="22"/>
        <v>2.4644266666666672</v>
      </c>
      <c r="AF64" s="96">
        <f t="shared" si="23"/>
        <v>2.1222799044079488</v>
      </c>
      <c r="AG64" s="96">
        <f t="shared" si="39"/>
        <v>2.2520359963269062E-2</v>
      </c>
      <c r="AH64" s="96">
        <f t="shared" si="40"/>
        <v>1.7343287787012258</v>
      </c>
      <c r="AI64" s="98">
        <f t="shared" si="24"/>
        <v>1.7568491386644949</v>
      </c>
      <c r="AJ64" s="97">
        <f t="shared" si="25"/>
        <v>3.04</v>
      </c>
      <c r="AK64" s="96">
        <f t="shared" si="26"/>
        <v>4.7945239654314395</v>
      </c>
      <c r="AL64" s="96">
        <f t="shared" si="27"/>
        <v>0.1976</v>
      </c>
      <c r="AM64" s="96">
        <f t="shared" si="41"/>
        <v>4.8104000000000005</v>
      </c>
      <c r="AN64" s="98">
        <f t="shared" si="28"/>
        <v>5.0080000000000009</v>
      </c>
      <c r="AO64" s="97">
        <f t="shared" si="42"/>
        <v>1.801628797061525E-2</v>
      </c>
      <c r="AP64" s="96">
        <f t="shared" si="16"/>
        <v>0.12150000000000002</v>
      </c>
      <c r="AQ64" s="98">
        <f t="shared" si="29"/>
        <v>8.0999999999999996E-3</v>
      </c>
      <c r="AR64" s="97">
        <f t="shared" si="30"/>
        <v>6.9124654266351113</v>
      </c>
      <c r="AS64" s="96">
        <f t="shared" si="31"/>
        <v>36.480000000000004</v>
      </c>
      <c r="AT64" s="98">
        <f t="shared" si="32"/>
        <v>84.069894718652918</v>
      </c>
    </row>
    <row r="65" spans="17:46" x14ac:dyDescent="0.3">
      <c r="Q65" s="32">
        <v>58</v>
      </c>
      <c r="R65" s="97">
        <f t="shared" si="0"/>
        <v>12</v>
      </c>
      <c r="S65" s="96">
        <f t="shared" si="34"/>
        <v>3.0933333333333337</v>
      </c>
      <c r="T65" s="96">
        <f t="shared" si="2"/>
        <v>18</v>
      </c>
      <c r="U65" s="98">
        <f t="shared" si="35"/>
        <v>2.0622222222222226</v>
      </c>
      <c r="V65" s="97">
        <f t="shared" si="36"/>
        <v>2</v>
      </c>
      <c r="W65" s="96">
        <f t="shared" si="37"/>
        <v>0.4</v>
      </c>
      <c r="X65" s="98">
        <f t="shared" si="38"/>
        <v>0.6</v>
      </c>
      <c r="Y65" s="97">
        <f t="shared" si="18"/>
        <v>2.1818181818181821</v>
      </c>
      <c r="Z65" s="96">
        <f t="shared" si="33"/>
        <v>7.3373737373737384</v>
      </c>
      <c r="AA65" s="96">
        <f t="shared" si="19"/>
        <v>2.1562594251859388</v>
      </c>
      <c r="AB65" s="96">
        <v>0</v>
      </c>
      <c r="AC65" s="96">
        <f t="shared" si="20"/>
        <v>4.6494547087031955E-2</v>
      </c>
      <c r="AD65" s="98">
        <f t="shared" si="21"/>
        <v>4.6494547087031955E-2</v>
      </c>
      <c r="AE65" s="97">
        <f t="shared" si="22"/>
        <v>2.5516562962962972</v>
      </c>
      <c r="AF65" s="96">
        <f t="shared" si="23"/>
        <v>2.1562594251859388</v>
      </c>
      <c r="AG65" s="96">
        <f t="shared" si="39"/>
        <v>2.3247273543515978E-2</v>
      </c>
      <c r="AH65" s="96">
        <f t="shared" si="40"/>
        <v>1.7647555993801951</v>
      </c>
      <c r="AI65" s="98">
        <f t="shared" si="24"/>
        <v>1.7880028729237112</v>
      </c>
      <c r="AJ65" s="97">
        <f t="shared" si="25"/>
        <v>3.0933333333333337</v>
      </c>
      <c r="AK65" s="96">
        <f t="shared" si="26"/>
        <v>4.8630246633803171</v>
      </c>
      <c r="AL65" s="96">
        <f t="shared" si="27"/>
        <v>0.2010666666666667</v>
      </c>
      <c r="AM65" s="96">
        <f t="shared" si="41"/>
        <v>4.8104000000000005</v>
      </c>
      <c r="AN65" s="98">
        <f t="shared" si="28"/>
        <v>5.0114666666666672</v>
      </c>
      <c r="AO65" s="97">
        <f t="shared" si="42"/>
        <v>1.859781883481278E-2</v>
      </c>
      <c r="AP65" s="96">
        <f t="shared" si="16"/>
        <v>0.12150000000000002</v>
      </c>
      <c r="AQ65" s="98">
        <f t="shared" si="29"/>
        <v>8.0999999999999996E-3</v>
      </c>
      <c r="AR65" s="97">
        <f t="shared" si="30"/>
        <v>6.9476673584251909</v>
      </c>
      <c r="AS65" s="96">
        <f t="shared" si="31"/>
        <v>37.120000000000005</v>
      </c>
      <c r="AT65" s="98">
        <f t="shared" si="32"/>
        <v>84.234093214155834</v>
      </c>
    </row>
    <row r="66" spans="17:46" x14ac:dyDescent="0.3">
      <c r="Q66" s="32">
        <v>59</v>
      </c>
      <c r="R66" s="97">
        <f t="shared" si="0"/>
        <v>12</v>
      </c>
      <c r="S66" s="96">
        <f t="shared" si="34"/>
        <v>3.1466666666666669</v>
      </c>
      <c r="T66" s="96">
        <f t="shared" si="2"/>
        <v>18</v>
      </c>
      <c r="U66" s="98">
        <f t="shared" si="35"/>
        <v>2.097777777777778</v>
      </c>
      <c r="V66" s="97">
        <f t="shared" si="36"/>
        <v>2</v>
      </c>
      <c r="W66" s="96">
        <f t="shared" si="37"/>
        <v>0.4</v>
      </c>
      <c r="X66" s="98">
        <f t="shared" si="38"/>
        <v>0.6</v>
      </c>
      <c r="Y66" s="97">
        <f t="shared" si="18"/>
        <v>2.1818181818181821</v>
      </c>
      <c r="Z66" s="96">
        <f t="shared" si="33"/>
        <v>7.426262626262627</v>
      </c>
      <c r="AA66" s="96">
        <f t="shared" si="19"/>
        <v>2.1902889808914043</v>
      </c>
      <c r="AB66" s="96">
        <v>0</v>
      </c>
      <c r="AC66" s="96">
        <f t="shared" si="20"/>
        <v>4.7973658198143067E-2</v>
      </c>
      <c r="AD66" s="98">
        <f t="shared" si="21"/>
        <v>4.7973658198143067E-2</v>
      </c>
      <c r="AE66" s="97">
        <f t="shared" si="22"/>
        <v>2.6404029629629635</v>
      </c>
      <c r="AF66" s="96">
        <f t="shared" si="23"/>
        <v>2.1902889808914043</v>
      </c>
      <c r="AG66" s="96">
        <f t="shared" si="39"/>
        <v>2.3986829099071533E-2</v>
      </c>
      <c r="AH66" s="96">
        <f t="shared" si="40"/>
        <v>1.795182420059164</v>
      </c>
      <c r="AI66" s="98">
        <f t="shared" si="24"/>
        <v>1.8191692491582354</v>
      </c>
      <c r="AJ66" s="97">
        <f t="shared" si="25"/>
        <v>3.1466666666666669</v>
      </c>
      <c r="AK66" s="96">
        <f t="shared" si="26"/>
        <v>4.9315351747377356</v>
      </c>
      <c r="AL66" s="96">
        <f t="shared" si="27"/>
        <v>0.20453333333333334</v>
      </c>
      <c r="AM66" s="96">
        <f t="shared" si="41"/>
        <v>4.8104000000000005</v>
      </c>
      <c r="AN66" s="98">
        <f t="shared" si="28"/>
        <v>5.0149333333333335</v>
      </c>
      <c r="AO66" s="97">
        <f t="shared" si="42"/>
        <v>1.9189463279257225E-2</v>
      </c>
      <c r="AP66" s="96">
        <f t="shared" si="16"/>
        <v>0.12150000000000002</v>
      </c>
      <c r="AQ66" s="98">
        <f t="shared" si="29"/>
        <v>8.0999999999999996E-3</v>
      </c>
      <c r="AR66" s="97">
        <f t="shared" si="30"/>
        <v>6.9828920457708268</v>
      </c>
      <c r="AS66" s="96">
        <f t="shared" si="31"/>
        <v>37.760000000000005</v>
      </c>
      <c r="AT66" s="98">
        <f t="shared" si="32"/>
        <v>84.393293042775369</v>
      </c>
    </row>
    <row r="67" spans="17:46" x14ac:dyDescent="0.3">
      <c r="Q67" s="32">
        <v>60</v>
      </c>
      <c r="R67" s="97">
        <f t="shared" si="0"/>
        <v>12</v>
      </c>
      <c r="S67" s="96">
        <f t="shared" si="34"/>
        <v>3.2</v>
      </c>
      <c r="T67" s="96">
        <f t="shared" si="2"/>
        <v>18</v>
      </c>
      <c r="U67" s="98">
        <f t="shared" si="35"/>
        <v>2.1333333333333337</v>
      </c>
      <c r="V67" s="97">
        <f t="shared" si="36"/>
        <v>2</v>
      </c>
      <c r="W67" s="96">
        <f t="shared" si="37"/>
        <v>0.4</v>
      </c>
      <c r="X67" s="98">
        <f t="shared" si="38"/>
        <v>0.6</v>
      </c>
      <c r="Y67" s="97">
        <f t="shared" si="18"/>
        <v>2.1818181818181821</v>
      </c>
      <c r="Z67" s="96">
        <f t="shared" si="33"/>
        <v>7.5151515151515156</v>
      </c>
      <c r="AA67" s="96">
        <f t="shared" si="19"/>
        <v>2.2243662751415618</v>
      </c>
      <c r="AB67" s="96">
        <v>0</v>
      </c>
      <c r="AC67" s="96">
        <f t="shared" si="20"/>
        <v>4.9478053259871466E-2</v>
      </c>
      <c r="AD67" s="98">
        <f t="shared" si="21"/>
        <v>4.9478053259871466E-2</v>
      </c>
      <c r="AE67" s="97">
        <f t="shared" si="22"/>
        <v>2.7306666666666675</v>
      </c>
      <c r="AF67" s="96">
        <f t="shared" si="23"/>
        <v>2.2243662751415618</v>
      </c>
      <c r="AG67" s="96">
        <f t="shared" si="39"/>
        <v>2.4739026629935733E-2</v>
      </c>
      <c r="AH67" s="96">
        <f t="shared" si="40"/>
        <v>1.8256092407381328</v>
      </c>
      <c r="AI67" s="98">
        <f t="shared" si="24"/>
        <v>1.8503482673680685</v>
      </c>
      <c r="AJ67" s="97">
        <f t="shared" si="25"/>
        <v>3.2</v>
      </c>
      <c r="AK67" s="96">
        <f t="shared" si="26"/>
        <v>5.0000550961151751</v>
      </c>
      <c r="AL67" s="96">
        <f t="shared" si="27"/>
        <v>0.20800000000000002</v>
      </c>
      <c r="AM67" s="96">
        <f t="shared" si="41"/>
        <v>4.8104000000000005</v>
      </c>
      <c r="AN67" s="98">
        <f t="shared" si="28"/>
        <v>5.0184000000000006</v>
      </c>
      <c r="AO67" s="97">
        <f t="shared" si="42"/>
        <v>1.9791221303948586E-2</v>
      </c>
      <c r="AP67" s="96">
        <f t="shared" si="16"/>
        <v>0.12150000000000002</v>
      </c>
      <c r="AQ67" s="98">
        <f t="shared" si="29"/>
        <v>8.0999999999999996E-3</v>
      </c>
      <c r="AR67" s="97">
        <f t="shared" si="30"/>
        <v>7.0181394886720172</v>
      </c>
      <c r="AS67" s="96">
        <f t="shared" si="31"/>
        <v>38.400000000000006</v>
      </c>
      <c r="AT67" s="98">
        <f t="shared" si="32"/>
        <v>84.547716908521863</v>
      </c>
    </row>
    <row r="68" spans="17:46" x14ac:dyDescent="0.3">
      <c r="Q68" s="32">
        <v>61</v>
      </c>
      <c r="R68" s="97">
        <f t="shared" si="0"/>
        <v>12</v>
      </c>
      <c r="S68" s="96">
        <f t="shared" si="34"/>
        <v>3.2533333333333334</v>
      </c>
      <c r="T68" s="96">
        <f t="shared" si="2"/>
        <v>18</v>
      </c>
      <c r="U68" s="98">
        <f t="shared" si="35"/>
        <v>2.1688888888888886</v>
      </c>
      <c r="V68" s="97">
        <f t="shared" si="36"/>
        <v>2</v>
      </c>
      <c r="W68" s="96">
        <f t="shared" si="37"/>
        <v>0.4</v>
      </c>
      <c r="X68" s="98">
        <f t="shared" si="38"/>
        <v>0.6</v>
      </c>
      <c r="Y68" s="97">
        <f t="shared" si="18"/>
        <v>2.1818181818181821</v>
      </c>
      <c r="Z68" s="96">
        <f t="shared" si="33"/>
        <v>7.6040404040404042</v>
      </c>
      <c r="AA68" s="96">
        <f t="shared" si="19"/>
        <v>2.2584891470232287</v>
      </c>
      <c r="AB68" s="96">
        <v>0</v>
      </c>
      <c r="AC68" s="96">
        <f t="shared" si="20"/>
        <v>5.100773227221711E-2</v>
      </c>
      <c r="AD68" s="98">
        <f t="shared" si="21"/>
        <v>5.100773227221711E-2</v>
      </c>
      <c r="AE68" s="97">
        <f t="shared" si="22"/>
        <v>2.8224474074074073</v>
      </c>
      <c r="AF68" s="96">
        <f t="shared" si="23"/>
        <v>2.2584891470232287</v>
      </c>
      <c r="AG68" s="96">
        <f t="shared" si="39"/>
        <v>2.5503866136108555E-2</v>
      </c>
      <c r="AH68" s="96">
        <f t="shared" si="40"/>
        <v>1.8560360614171014</v>
      </c>
      <c r="AI68" s="98">
        <f t="shared" si="24"/>
        <v>1.8815399275532099</v>
      </c>
      <c r="AJ68" s="97">
        <f t="shared" si="25"/>
        <v>3.2533333333333334</v>
      </c>
      <c r="AK68" s="96">
        <f t="shared" si="26"/>
        <v>5.0685840458830898</v>
      </c>
      <c r="AL68" s="96">
        <f t="shared" si="27"/>
        <v>0.21146666666666669</v>
      </c>
      <c r="AM68" s="96">
        <f t="shared" si="41"/>
        <v>4.8104000000000005</v>
      </c>
      <c r="AN68" s="98">
        <f t="shared" si="28"/>
        <v>5.0218666666666669</v>
      </c>
      <c r="AO68" s="97">
        <f t="shared" si="42"/>
        <v>2.0403092908886845E-2</v>
      </c>
      <c r="AP68" s="96">
        <f t="shared" si="16"/>
        <v>0.12150000000000002</v>
      </c>
      <c r="AQ68" s="98">
        <f t="shared" si="29"/>
        <v>8.0999999999999996E-3</v>
      </c>
      <c r="AR68" s="97">
        <f t="shared" si="30"/>
        <v>7.053409687128763</v>
      </c>
      <c r="AS68" s="96">
        <f t="shared" si="31"/>
        <v>39.04</v>
      </c>
      <c r="AT68" s="98">
        <f t="shared" si="32"/>
        <v>84.697574479723556</v>
      </c>
    </row>
    <row r="69" spans="17:46" x14ac:dyDescent="0.3">
      <c r="Q69" s="32">
        <v>62</v>
      </c>
      <c r="R69" s="97">
        <f t="shared" si="0"/>
        <v>12</v>
      </c>
      <c r="S69" s="96">
        <f t="shared" si="34"/>
        <v>3.3066666666666671</v>
      </c>
      <c r="T69" s="96">
        <f t="shared" si="2"/>
        <v>18</v>
      </c>
      <c r="U69" s="98">
        <f t="shared" si="35"/>
        <v>2.2044444444444449</v>
      </c>
      <c r="V69" s="97">
        <f t="shared" si="36"/>
        <v>2</v>
      </c>
      <c r="W69" s="96">
        <f t="shared" si="37"/>
        <v>0.4</v>
      </c>
      <c r="X69" s="98">
        <f t="shared" si="38"/>
        <v>0.6</v>
      </c>
      <c r="Y69" s="97">
        <f t="shared" si="18"/>
        <v>2.1818181818181821</v>
      </c>
      <c r="Z69" s="96">
        <f t="shared" si="33"/>
        <v>7.6929292929292945</v>
      </c>
      <c r="AA69" s="96">
        <f t="shared" si="19"/>
        <v>2.2926555614653523</v>
      </c>
      <c r="AB69" s="96">
        <v>0</v>
      </c>
      <c r="AC69" s="96">
        <f t="shared" si="20"/>
        <v>5.2562695235180097E-2</v>
      </c>
      <c r="AD69" s="98">
        <f t="shared" si="21"/>
        <v>5.2562695235180097E-2</v>
      </c>
      <c r="AE69" s="97">
        <f t="shared" si="22"/>
        <v>2.9157451851851861</v>
      </c>
      <c r="AF69" s="96">
        <f t="shared" si="23"/>
        <v>2.2926555614653523</v>
      </c>
      <c r="AG69" s="96">
        <f t="shared" si="39"/>
        <v>2.6281347617590049E-2</v>
      </c>
      <c r="AH69" s="96">
        <f t="shared" si="40"/>
        <v>1.8864628820960705</v>
      </c>
      <c r="AI69" s="98">
        <f t="shared" si="24"/>
        <v>1.9127442297136605</v>
      </c>
      <c r="AJ69" s="97">
        <f t="shared" si="25"/>
        <v>3.3066666666666671</v>
      </c>
      <c r="AK69" s="96">
        <f t="shared" si="26"/>
        <v>5.1371216627266438</v>
      </c>
      <c r="AL69" s="96">
        <f t="shared" si="27"/>
        <v>0.21493333333333337</v>
      </c>
      <c r="AM69" s="96">
        <f t="shared" si="41"/>
        <v>4.8104000000000005</v>
      </c>
      <c r="AN69" s="98">
        <f t="shared" si="28"/>
        <v>5.0253333333333341</v>
      </c>
      <c r="AO69" s="97">
        <f t="shared" si="42"/>
        <v>2.1025078094072041E-2</v>
      </c>
      <c r="AP69" s="96">
        <f t="shared" si="16"/>
        <v>0.12150000000000002</v>
      </c>
      <c r="AQ69" s="98">
        <f t="shared" si="29"/>
        <v>8.0999999999999996E-3</v>
      </c>
      <c r="AR69" s="97">
        <f t="shared" si="30"/>
        <v>7.088702641141067</v>
      </c>
      <c r="AS69" s="96">
        <f t="shared" si="31"/>
        <v>39.680000000000007</v>
      </c>
      <c r="AT69" s="98">
        <f t="shared" si="32"/>
        <v>84.843063329053422</v>
      </c>
    </row>
    <row r="70" spans="17:46" x14ac:dyDescent="0.3">
      <c r="Q70" s="32">
        <v>63</v>
      </c>
      <c r="R70" s="97">
        <f t="shared" si="0"/>
        <v>12</v>
      </c>
      <c r="S70" s="96">
        <f t="shared" si="34"/>
        <v>3.3600000000000003</v>
      </c>
      <c r="T70" s="96">
        <f t="shared" si="2"/>
        <v>18</v>
      </c>
      <c r="U70" s="98">
        <f t="shared" si="35"/>
        <v>2.2400000000000002</v>
      </c>
      <c r="V70" s="97">
        <f t="shared" si="36"/>
        <v>2</v>
      </c>
      <c r="W70" s="96">
        <f t="shared" si="37"/>
        <v>0.4</v>
      </c>
      <c r="X70" s="98">
        <f t="shared" si="38"/>
        <v>0.6</v>
      </c>
      <c r="Y70" s="97">
        <f t="shared" si="18"/>
        <v>2.1818181818181821</v>
      </c>
      <c r="Z70" s="96">
        <f t="shared" si="33"/>
        <v>7.7818181818181831</v>
      </c>
      <c r="AA70" s="96">
        <f t="shared" si="19"/>
        <v>2.3268636004020591</v>
      </c>
      <c r="AB70" s="96">
        <v>0</v>
      </c>
      <c r="AC70" s="96">
        <f t="shared" si="20"/>
        <v>5.4142942148760337E-2</v>
      </c>
      <c r="AD70" s="98">
        <f t="shared" si="21"/>
        <v>5.4142942148760337E-2</v>
      </c>
      <c r="AE70" s="97">
        <f t="shared" si="22"/>
        <v>3.0105600000000008</v>
      </c>
      <c r="AF70" s="96">
        <f t="shared" si="23"/>
        <v>2.3268636004020591</v>
      </c>
      <c r="AG70" s="96">
        <f t="shared" si="39"/>
        <v>2.7071471074380168E-2</v>
      </c>
      <c r="AH70" s="96">
        <f t="shared" si="40"/>
        <v>1.9168897027750393</v>
      </c>
      <c r="AI70" s="98">
        <f t="shared" si="24"/>
        <v>1.9439611738494196</v>
      </c>
      <c r="AJ70" s="97">
        <f t="shared" si="25"/>
        <v>3.3600000000000003</v>
      </c>
      <c r="AK70" s="96">
        <f t="shared" si="26"/>
        <v>5.2056676043147032</v>
      </c>
      <c r="AL70" s="96">
        <f t="shared" si="27"/>
        <v>0.21840000000000004</v>
      </c>
      <c r="AM70" s="96">
        <f t="shared" si="41"/>
        <v>4.8104000000000005</v>
      </c>
      <c r="AN70" s="98">
        <f t="shared" si="28"/>
        <v>5.0288000000000004</v>
      </c>
      <c r="AO70" s="97">
        <f t="shared" si="42"/>
        <v>2.1657176859504135E-2</v>
      </c>
      <c r="AP70" s="96">
        <f t="shared" si="16"/>
        <v>0.12150000000000002</v>
      </c>
      <c r="AQ70" s="98">
        <f t="shared" si="29"/>
        <v>8.0999999999999996E-3</v>
      </c>
      <c r="AR70" s="97">
        <f t="shared" si="30"/>
        <v>7.1240183507089245</v>
      </c>
      <c r="AS70" s="96">
        <f t="shared" si="31"/>
        <v>40.320000000000007</v>
      </c>
      <c r="AT70" s="98">
        <f t="shared" si="32"/>
        <v>84.98436979336833</v>
      </c>
    </row>
    <row r="71" spans="17:46" x14ac:dyDescent="0.3">
      <c r="Q71" s="32">
        <v>64</v>
      </c>
      <c r="R71" s="97">
        <f t="shared" ref="R71:R134" si="43">VOUT</f>
        <v>12</v>
      </c>
      <c r="S71" s="96">
        <f t="shared" ref="S71:S102" si="44">Q71*$O$12</f>
        <v>3.4133333333333336</v>
      </c>
      <c r="T71" s="96">
        <f t="shared" ref="T71:T134" si="45">VIN_var</f>
        <v>18</v>
      </c>
      <c r="U71" s="98">
        <f t="shared" ref="U71:U102" si="46">(R71*S71)/(T71*EFF_est)</f>
        <v>2.2755555555555556</v>
      </c>
      <c r="V71" s="97">
        <f t="shared" ref="V71:V102" si="47">IF(S71&lt;((T71^2)*R71)/(2*Fsw*Lm*((T71+R71)^2)),1,2)</f>
        <v>2</v>
      </c>
      <c r="W71" s="96">
        <f t="shared" ref="W71:W102" si="48">CHOOSE(V71,SQRT(2*Lm*R71*S71*Fsw)/T71,R71/(T71+R71))</f>
        <v>0.4</v>
      </c>
      <c r="X71" s="98">
        <f t="shared" ref="X71:X102" si="49">CHOOSE(V71,(Lm*Z71*Fsw)/(R71),1-W71)</f>
        <v>0.6</v>
      </c>
      <c r="Y71" s="97">
        <f t="shared" si="18"/>
        <v>2.1818181818181821</v>
      </c>
      <c r="Z71" s="96">
        <f t="shared" si="33"/>
        <v>7.8707070707070717</v>
      </c>
      <c r="AA71" s="96">
        <f t="shared" si="19"/>
        <v>2.3611114546534617</v>
      </c>
      <c r="AB71" s="96">
        <v>0</v>
      </c>
      <c r="AC71" s="96">
        <f t="shared" si="20"/>
        <v>5.5748473012957857E-2</v>
      </c>
      <c r="AD71" s="98">
        <f t="shared" si="21"/>
        <v>5.5748473012957857E-2</v>
      </c>
      <c r="AE71" s="97">
        <f t="shared" si="22"/>
        <v>3.1068918518518522</v>
      </c>
      <c r="AF71" s="96">
        <f t="shared" si="23"/>
        <v>2.3611114546534617</v>
      </c>
      <c r="AG71" s="96">
        <f t="shared" ref="AG71:AG102" si="50">(AF71^2)*RDS_on</f>
        <v>2.7874236506478928E-2</v>
      </c>
      <c r="AH71" s="96">
        <f t="shared" ref="AH71:AH102" si="51">(((R71+T71)*(U71+S71))/2)*Fsw*(tr_sw+tf_sw)</f>
        <v>1.947316523454008</v>
      </c>
      <c r="AI71" s="98">
        <f t="shared" si="24"/>
        <v>1.975190759960487</v>
      </c>
      <c r="AJ71" s="97">
        <f t="shared" si="25"/>
        <v>3.4133333333333336</v>
      </c>
      <c r="AK71" s="96">
        <f t="shared" si="26"/>
        <v>5.2742215460719208</v>
      </c>
      <c r="AL71" s="96">
        <f t="shared" si="27"/>
        <v>0.22186666666666668</v>
      </c>
      <c r="AM71" s="96">
        <f t="shared" ref="AM71:AM102" si="52">(R71+T71+Vd_rect)*Qrr*Fsw</f>
        <v>4.8104000000000005</v>
      </c>
      <c r="AN71" s="98">
        <f t="shared" si="28"/>
        <v>5.0322666666666676</v>
      </c>
      <c r="AO71" s="97">
        <f t="shared" ref="AO71:AO102" si="53">(AF71^2)*R_cs</f>
        <v>2.2299389205183144E-2</v>
      </c>
      <c r="AP71" s="96">
        <f t="shared" ref="AP71:AP134" si="54">Qg_tot*Vcc*Fsw</f>
        <v>0.12150000000000002</v>
      </c>
      <c r="AQ71" s="98">
        <f t="shared" si="29"/>
        <v>8.0999999999999996E-3</v>
      </c>
      <c r="AR71" s="97">
        <f t="shared" si="30"/>
        <v>7.1593568158323375</v>
      </c>
      <c r="AS71" s="96">
        <f t="shared" si="31"/>
        <v>40.96</v>
      </c>
      <c r="AT71" s="98">
        <f t="shared" si="32"/>
        <v>85.121669761228503</v>
      </c>
    </row>
    <row r="72" spans="17:46" x14ac:dyDescent="0.3">
      <c r="Q72" s="32">
        <v>65</v>
      </c>
      <c r="R72" s="97">
        <f t="shared" si="43"/>
        <v>12</v>
      </c>
      <c r="S72" s="96">
        <f t="shared" si="44"/>
        <v>3.4666666666666668</v>
      </c>
      <c r="T72" s="96">
        <f t="shared" si="45"/>
        <v>18</v>
      </c>
      <c r="U72" s="98">
        <f t="shared" si="46"/>
        <v>2.3111111111111113</v>
      </c>
      <c r="V72" s="97">
        <f t="shared" si="47"/>
        <v>2</v>
      </c>
      <c r="W72" s="96">
        <f t="shared" si="48"/>
        <v>0.4</v>
      </c>
      <c r="X72" s="98">
        <f t="shared" si="49"/>
        <v>0.6</v>
      </c>
      <c r="Y72" s="97">
        <f t="shared" ref="Y72:Y135" si="55">(T72*W72)/(Lm*Fsw)</f>
        <v>2.1818181818181821</v>
      </c>
      <c r="Z72" s="96">
        <f t="shared" ref="Z72:Z135" si="56">CHOOSE(V72,Y72,U72+S72+(Y72))</f>
        <v>7.9595959595959602</v>
      </c>
      <c r="AA72" s="96">
        <f t="shared" ref="AA72:AA135" si="57">CHOOSE(V72,Z72*SQRT((W72+X72)/3),SQRT((U72^2)+((Y72^2)/12)))</f>
        <v>2.3953974164587533</v>
      </c>
      <c r="AB72" s="96">
        <v>0</v>
      </c>
      <c r="AC72" s="96">
        <f t="shared" ref="AC72:AC135" si="58">(AA72^2)*Rdcr</f>
        <v>5.7379287827772699E-2</v>
      </c>
      <c r="AD72" s="98">
        <f t="shared" ref="AD72:AD135" si="59">AB72+AC72</f>
        <v>5.7379287827772699E-2</v>
      </c>
      <c r="AE72" s="97">
        <f t="shared" ref="AE72:AE135" si="60">U72*S72*W72</f>
        <v>3.2047407407407413</v>
      </c>
      <c r="AF72" s="96">
        <f t="shared" ref="AF72:AF135" si="61">AA72</f>
        <v>2.3953974164587533</v>
      </c>
      <c r="AG72" s="96">
        <f t="shared" si="50"/>
        <v>2.8689643913886349E-2</v>
      </c>
      <c r="AH72" s="96">
        <f t="shared" si="51"/>
        <v>1.9777433441329773</v>
      </c>
      <c r="AI72" s="98">
        <f t="shared" ref="AI72:AI135" si="62">AG72+AH72</f>
        <v>2.0064329880468637</v>
      </c>
      <c r="AJ72" s="97">
        <f t="shared" ref="AJ72:AJ135" si="63">S72</f>
        <v>3.4666666666666668</v>
      </c>
      <c r="AK72" s="96">
        <f t="shared" ref="AK72:AK135" si="64">CHOOSE(V72,Z72*SQRT(X72/3),SQRT(X72*((Z72^2)+((Y72^2)/3)-(Y72*Z72))))</f>
        <v>5.3427831800446919</v>
      </c>
      <c r="AL72" s="96">
        <f t="shared" ref="AL72:AL135" si="65">S72*Vd_rect</f>
        <v>0.22533333333333336</v>
      </c>
      <c r="AM72" s="96">
        <f t="shared" si="52"/>
        <v>4.8104000000000005</v>
      </c>
      <c r="AN72" s="98">
        <f t="shared" ref="AN72:AN135" si="66">AL72+AM72</f>
        <v>5.0357333333333338</v>
      </c>
      <c r="AO72" s="97">
        <f t="shared" si="53"/>
        <v>2.2951715131109079E-2</v>
      </c>
      <c r="AP72" s="96">
        <f t="shared" si="54"/>
        <v>0.12150000000000002</v>
      </c>
      <c r="AQ72" s="98">
        <f t="shared" ref="AQ72:AQ135" si="67">IQ*T72</f>
        <v>8.0999999999999996E-3</v>
      </c>
      <c r="AR72" s="97">
        <f t="shared" ref="AR72:AR135" si="68">AO72+AN72+AI72+AP72+AQ72</f>
        <v>7.1947180365113059</v>
      </c>
      <c r="AS72" s="96">
        <f t="shared" ref="AS72:AS135" si="69">R72*S72</f>
        <v>41.6</v>
      </c>
      <c r="AT72" s="98">
        <f t="shared" ref="AT72:AT135" si="70">(AS72/(AS72+AR72))*100</f>
        <v>85.255129395096091</v>
      </c>
    </row>
    <row r="73" spans="17:46" x14ac:dyDescent="0.3">
      <c r="Q73" s="32">
        <v>66</v>
      </c>
      <c r="R73" s="97">
        <f t="shared" si="43"/>
        <v>12</v>
      </c>
      <c r="S73" s="96">
        <f t="shared" si="44"/>
        <v>3.52</v>
      </c>
      <c r="T73" s="96">
        <f t="shared" si="45"/>
        <v>18</v>
      </c>
      <c r="U73" s="98">
        <f t="shared" si="46"/>
        <v>2.3466666666666667</v>
      </c>
      <c r="V73" s="97">
        <f t="shared" si="47"/>
        <v>2</v>
      </c>
      <c r="W73" s="96">
        <f t="shared" si="48"/>
        <v>0.4</v>
      </c>
      <c r="X73" s="98">
        <f t="shared" si="49"/>
        <v>0.6</v>
      </c>
      <c r="Y73" s="97">
        <f t="shared" si="55"/>
        <v>2.1818181818181821</v>
      </c>
      <c r="Z73" s="96">
        <f t="shared" si="56"/>
        <v>8.0484848484848488</v>
      </c>
      <c r="AA73" s="96">
        <f t="shared" si="57"/>
        <v>2.4297198726026994</v>
      </c>
      <c r="AB73" s="96">
        <v>0</v>
      </c>
      <c r="AC73" s="96">
        <f t="shared" si="58"/>
        <v>5.9035386593204779E-2</v>
      </c>
      <c r="AD73" s="98">
        <f t="shared" si="59"/>
        <v>5.9035386593204779E-2</v>
      </c>
      <c r="AE73" s="97">
        <f t="shared" si="60"/>
        <v>3.3041066666666667</v>
      </c>
      <c r="AF73" s="96">
        <f t="shared" si="61"/>
        <v>2.4297198726026994</v>
      </c>
      <c r="AG73" s="96">
        <f t="shared" si="50"/>
        <v>2.951769329660239E-2</v>
      </c>
      <c r="AH73" s="96">
        <f t="shared" si="51"/>
        <v>2.0081701648119457</v>
      </c>
      <c r="AI73" s="98">
        <f t="shared" si="62"/>
        <v>2.0376878581085482</v>
      </c>
      <c r="AJ73" s="97">
        <f t="shared" si="63"/>
        <v>3.52</v>
      </c>
      <c r="AK73" s="96">
        <f t="shared" si="64"/>
        <v>5.4113522138527577</v>
      </c>
      <c r="AL73" s="96">
        <f t="shared" si="65"/>
        <v>0.2288</v>
      </c>
      <c r="AM73" s="96">
        <f t="shared" si="52"/>
        <v>4.8104000000000005</v>
      </c>
      <c r="AN73" s="98">
        <f t="shared" si="66"/>
        <v>5.0392000000000001</v>
      </c>
      <c r="AO73" s="97">
        <f t="shared" si="53"/>
        <v>2.361415463728191E-2</v>
      </c>
      <c r="AP73" s="96">
        <f t="shared" si="54"/>
        <v>0.12150000000000002</v>
      </c>
      <c r="AQ73" s="98">
        <f t="shared" si="67"/>
        <v>8.0999999999999996E-3</v>
      </c>
      <c r="AR73" s="97">
        <f t="shared" si="68"/>
        <v>7.2301020127458298</v>
      </c>
      <c r="AS73" s="96">
        <f t="shared" si="69"/>
        <v>42.24</v>
      </c>
      <c r="AT73" s="98">
        <f t="shared" si="70"/>
        <v>85.384905794447292</v>
      </c>
    </row>
    <row r="74" spans="17:46" x14ac:dyDescent="0.3">
      <c r="Q74" s="32">
        <v>67</v>
      </c>
      <c r="R74" s="97">
        <f t="shared" si="43"/>
        <v>12</v>
      </c>
      <c r="S74" s="96">
        <f t="shared" si="44"/>
        <v>3.5733333333333337</v>
      </c>
      <c r="T74" s="96">
        <f t="shared" si="45"/>
        <v>18</v>
      </c>
      <c r="U74" s="98">
        <f t="shared" si="46"/>
        <v>2.3822222222222225</v>
      </c>
      <c r="V74" s="97">
        <f t="shared" si="47"/>
        <v>2</v>
      </c>
      <c r="W74" s="96">
        <f t="shared" si="48"/>
        <v>0.4</v>
      </c>
      <c r="X74" s="98">
        <f t="shared" si="49"/>
        <v>0.6</v>
      </c>
      <c r="Y74" s="97">
        <f t="shared" si="55"/>
        <v>2.1818181818181821</v>
      </c>
      <c r="Z74" s="96">
        <f t="shared" si="56"/>
        <v>8.1373737373737374</v>
      </c>
      <c r="AA74" s="96">
        <f t="shared" si="57"/>
        <v>2.4640772980824726</v>
      </c>
      <c r="AB74" s="96">
        <v>0</v>
      </c>
      <c r="AC74" s="96">
        <f t="shared" si="58"/>
        <v>6.0716769309254189E-2</v>
      </c>
      <c r="AD74" s="98">
        <f t="shared" si="59"/>
        <v>6.0716769309254189E-2</v>
      </c>
      <c r="AE74" s="97">
        <f t="shared" si="60"/>
        <v>3.4049896296296307</v>
      </c>
      <c r="AF74" s="96">
        <f t="shared" si="61"/>
        <v>2.4640772980824726</v>
      </c>
      <c r="AG74" s="96">
        <f t="shared" si="50"/>
        <v>3.0358384654627094E-2</v>
      </c>
      <c r="AH74" s="96">
        <f t="shared" si="51"/>
        <v>2.0385969854909147</v>
      </c>
      <c r="AI74" s="98">
        <f t="shared" si="62"/>
        <v>2.0689553701455417</v>
      </c>
      <c r="AJ74" s="97">
        <f t="shared" si="63"/>
        <v>3.5733333333333337</v>
      </c>
      <c r="AK74" s="96">
        <f t="shared" si="64"/>
        <v>5.4799283697190138</v>
      </c>
      <c r="AL74" s="96">
        <f t="shared" si="65"/>
        <v>0.2322666666666667</v>
      </c>
      <c r="AM74" s="96">
        <f t="shared" si="52"/>
        <v>4.8104000000000005</v>
      </c>
      <c r="AN74" s="98">
        <f t="shared" si="66"/>
        <v>5.0426666666666673</v>
      </c>
      <c r="AO74" s="97">
        <f t="shared" si="53"/>
        <v>2.4286707723701676E-2</v>
      </c>
      <c r="AP74" s="96">
        <f t="shared" si="54"/>
        <v>0.12150000000000002</v>
      </c>
      <c r="AQ74" s="98">
        <f t="shared" si="67"/>
        <v>8.0999999999999996E-3</v>
      </c>
      <c r="AR74" s="97">
        <f t="shared" si="68"/>
        <v>7.2655087445359108</v>
      </c>
      <c r="AS74" s="96">
        <f t="shared" si="69"/>
        <v>42.88</v>
      </c>
      <c r="AT74" s="98">
        <f t="shared" si="70"/>
        <v>85.511147605362368</v>
      </c>
    </row>
    <row r="75" spans="17:46" x14ac:dyDescent="0.3">
      <c r="Q75" s="32">
        <v>68</v>
      </c>
      <c r="R75" s="97">
        <f t="shared" si="43"/>
        <v>12</v>
      </c>
      <c r="S75" s="96">
        <f t="shared" si="44"/>
        <v>3.6266666666666669</v>
      </c>
      <c r="T75" s="96">
        <f t="shared" si="45"/>
        <v>18</v>
      </c>
      <c r="U75" s="98">
        <f t="shared" si="46"/>
        <v>2.4177777777777778</v>
      </c>
      <c r="V75" s="97">
        <f t="shared" si="47"/>
        <v>2</v>
      </c>
      <c r="W75" s="96">
        <f t="shared" si="48"/>
        <v>0.4</v>
      </c>
      <c r="X75" s="98">
        <f t="shared" si="49"/>
        <v>0.6</v>
      </c>
      <c r="Y75" s="97">
        <f t="shared" si="55"/>
        <v>2.1818181818181821</v>
      </c>
      <c r="Z75" s="96">
        <f t="shared" si="56"/>
        <v>8.2262626262626259</v>
      </c>
      <c r="AA75" s="96">
        <f t="shared" si="57"/>
        <v>2.4984682502669679</v>
      </c>
      <c r="AB75" s="96">
        <v>0</v>
      </c>
      <c r="AC75" s="96">
        <f t="shared" si="58"/>
        <v>6.2423435975920843E-2</v>
      </c>
      <c r="AD75" s="98">
        <f t="shared" si="59"/>
        <v>6.2423435975920843E-2</v>
      </c>
      <c r="AE75" s="97">
        <f t="shared" si="60"/>
        <v>3.5073896296296301</v>
      </c>
      <c r="AF75" s="96">
        <f t="shared" si="61"/>
        <v>2.4984682502669679</v>
      </c>
      <c r="AG75" s="96">
        <f t="shared" si="50"/>
        <v>3.1211717987960422E-2</v>
      </c>
      <c r="AH75" s="96">
        <f t="shared" si="51"/>
        <v>2.0690238061698829</v>
      </c>
      <c r="AI75" s="98">
        <f t="shared" si="62"/>
        <v>2.1002355241578434</v>
      </c>
      <c r="AJ75" s="97">
        <f t="shared" si="63"/>
        <v>3.6266666666666669</v>
      </c>
      <c r="AK75" s="96">
        <f t="shared" si="64"/>
        <v>5.5485113835708155</v>
      </c>
      <c r="AL75" s="96">
        <f t="shared" si="65"/>
        <v>0.23573333333333335</v>
      </c>
      <c r="AM75" s="96">
        <f t="shared" si="52"/>
        <v>4.8104000000000005</v>
      </c>
      <c r="AN75" s="98">
        <f t="shared" si="66"/>
        <v>5.0461333333333336</v>
      </c>
      <c r="AO75" s="97">
        <f t="shared" si="53"/>
        <v>2.4969374390368337E-2</v>
      </c>
      <c r="AP75" s="96">
        <f t="shared" si="54"/>
        <v>0.12150000000000002</v>
      </c>
      <c r="AQ75" s="98">
        <f t="shared" si="67"/>
        <v>8.0999999999999996E-3</v>
      </c>
      <c r="AR75" s="97">
        <f t="shared" si="68"/>
        <v>7.3009382318815454</v>
      </c>
      <c r="AS75" s="96">
        <f t="shared" si="69"/>
        <v>43.52</v>
      </c>
      <c r="AT75" s="98">
        <f t="shared" si="70"/>
        <v>85.633995581566339</v>
      </c>
    </row>
    <row r="76" spans="17:46" x14ac:dyDescent="0.3">
      <c r="Q76" s="32">
        <v>69</v>
      </c>
      <c r="R76" s="97">
        <f t="shared" si="43"/>
        <v>12</v>
      </c>
      <c r="S76" s="96">
        <f t="shared" si="44"/>
        <v>3.68</v>
      </c>
      <c r="T76" s="96">
        <f t="shared" si="45"/>
        <v>18</v>
      </c>
      <c r="U76" s="98">
        <f t="shared" si="46"/>
        <v>2.4533333333333336</v>
      </c>
      <c r="V76" s="97">
        <f t="shared" si="47"/>
        <v>2</v>
      </c>
      <c r="W76" s="96">
        <f t="shared" si="48"/>
        <v>0.4</v>
      </c>
      <c r="X76" s="98">
        <f t="shared" si="49"/>
        <v>0.6</v>
      </c>
      <c r="Y76" s="97">
        <f t="shared" si="55"/>
        <v>2.1818181818181821</v>
      </c>
      <c r="Z76" s="96">
        <f t="shared" si="56"/>
        <v>8.3151515151515163</v>
      </c>
      <c r="AA76" s="96">
        <f t="shared" si="57"/>
        <v>2.5328913635054464</v>
      </c>
      <c r="AB76" s="96">
        <v>0</v>
      </c>
      <c r="AC76" s="96">
        <f t="shared" si="58"/>
        <v>6.41553865932048E-2</v>
      </c>
      <c r="AD76" s="98">
        <f t="shared" si="59"/>
        <v>6.41553865932048E-2</v>
      </c>
      <c r="AE76" s="97">
        <f t="shared" si="60"/>
        <v>3.6113066666666676</v>
      </c>
      <c r="AF76" s="96">
        <f t="shared" si="61"/>
        <v>2.5328913635054464</v>
      </c>
      <c r="AG76" s="96">
        <f t="shared" si="50"/>
        <v>3.20776932966024E-2</v>
      </c>
      <c r="AH76" s="96">
        <f t="shared" si="51"/>
        <v>2.0994506268488524</v>
      </c>
      <c r="AI76" s="98">
        <f t="shared" si="62"/>
        <v>2.1315283201454549</v>
      </c>
      <c r="AJ76" s="97">
        <f t="shared" si="63"/>
        <v>3.68</v>
      </c>
      <c r="AK76" s="96">
        <f t="shared" si="64"/>
        <v>5.6171010042067131</v>
      </c>
      <c r="AL76" s="96">
        <f t="shared" si="65"/>
        <v>0.23920000000000002</v>
      </c>
      <c r="AM76" s="96">
        <f t="shared" si="52"/>
        <v>4.8104000000000005</v>
      </c>
      <c r="AN76" s="98">
        <f t="shared" si="66"/>
        <v>5.0496000000000008</v>
      </c>
      <c r="AO76" s="97">
        <f t="shared" si="53"/>
        <v>2.5662154637281918E-2</v>
      </c>
      <c r="AP76" s="96">
        <f t="shared" si="54"/>
        <v>0.12150000000000002</v>
      </c>
      <c r="AQ76" s="98">
        <f t="shared" si="67"/>
        <v>8.0999999999999996E-3</v>
      </c>
      <c r="AR76" s="97">
        <f t="shared" si="68"/>
        <v>7.3363904747827373</v>
      </c>
      <c r="AS76" s="96">
        <f t="shared" si="69"/>
        <v>44.160000000000004</v>
      </c>
      <c r="AT76" s="98">
        <f t="shared" si="70"/>
        <v>85.753583101372328</v>
      </c>
    </row>
    <row r="77" spans="17:46" x14ac:dyDescent="0.3">
      <c r="Q77" s="32">
        <v>70</v>
      </c>
      <c r="R77" s="97">
        <f t="shared" si="43"/>
        <v>12</v>
      </c>
      <c r="S77" s="96">
        <f t="shared" si="44"/>
        <v>3.7333333333333334</v>
      </c>
      <c r="T77" s="96">
        <f t="shared" si="45"/>
        <v>18</v>
      </c>
      <c r="U77" s="98">
        <f t="shared" si="46"/>
        <v>2.4888888888888889</v>
      </c>
      <c r="V77" s="97">
        <f t="shared" si="47"/>
        <v>2</v>
      </c>
      <c r="W77" s="96">
        <f t="shared" si="48"/>
        <v>0.4</v>
      </c>
      <c r="X77" s="98">
        <f t="shared" si="49"/>
        <v>0.6</v>
      </c>
      <c r="Y77" s="97">
        <f t="shared" si="55"/>
        <v>2.1818181818181821</v>
      </c>
      <c r="Z77" s="96">
        <f t="shared" si="56"/>
        <v>8.4040404040404049</v>
      </c>
      <c r="AA77" s="96">
        <f t="shared" si="57"/>
        <v>2.5673453441464789</v>
      </c>
      <c r="AB77" s="96">
        <v>0</v>
      </c>
      <c r="AC77" s="96">
        <f t="shared" si="58"/>
        <v>6.5912621161106022E-2</v>
      </c>
      <c r="AD77" s="98">
        <f t="shared" si="59"/>
        <v>6.5912621161106022E-2</v>
      </c>
      <c r="AE77" s="97">
        <f t="shared" si="60"/>
        <v>3.7167407407407413</v>
      </c>
      <c r="AF77" s="96">
        <f t="shared" si="61"/>
        <v>2.5673453441464789</v>
      </c>
      <c r="AG77" s="96">
        <f t="shared" si="50"/>
        <v>3.2956310580553011E-2</v>
      </c>
      <c r="AH77" s="96">
        <f t="shared" si="51"/>
        <v>2.129877447527821</v>
      </c>
      <c r="AI77" s="98">
        <f t="shared" si="62"/>
        <v>2.1628337581083739</v>
      </c>
      <c r="AJ77" s="97">
        <f t="shared" si="63"/>
        <v>3.7333333333333334</v>
      </c>
      <c r="AK77" s="96">
        <f t="shared" si="64"/>
        <v>5.6856969925231384</v>
      </c>
      <c r="AL77" s="96">
        <f t="shared" si="65"/>
        <v>0.24266666666666667</v>
      </c>
      <c r="AM77" s="96">
        <f t="shared" si="52"/>
        <v>4.8104000000000005</v>
      </c>
      <c r="AN77" s="98">
        <f t="shared" si="66"/>
        <v>5.053066666666667</v>
      </c>
      <c r="AO77" s="97">
        <f t="shared" si="53"/>
        <v>2.6365048464442407E-2</v>
      </c>
      <c r="AP77" s="96">
        <f t="shared" si="54"/>
        <v>0.12150000000000002</v>
      </c>
      <c r="AQ77" s="98">
        <f t="shared" si="67"/>
        <v>8.0999999999999996E-3</v>
      </c>
      <c r="AR77" s="97">
        <f t="shared" si="68"/>
        <v>7.3718654732394828</v>
      </c>
      <c r="AS77" s="96">
        <f t="shared" si="69"/>
        <v>44.8</v>
      </c>
      <c r="AT77" s="98">
        <f t="shared" si="70"/>
        <v>85.870036644519203</v>
      </c>
    </row>
    <row r="78" spans="17:46" x14ac:dyDescent="0.3">
      <c r="Q78" s="32">
        <v>71</v>
      </c>
      <c r="R78" s="97">
        <f t="shared" si="43"/>
        <v>12</v>
      </c>
      <c r="S78" s="96">
        <f t="shared" si="44"/>
        <v>3.7866666666666671</v>
      </c>
      <c r="T78" s="96">
        <f t="shared" si="45"/>
        <v>18</v>
      </c>
      <c r="U78" s="98">
        <f t="shared" si="46"/>
        <v>2.5244444444444447</v>
      </c>
      <c r="V78" s="97">
        <f t="shared" si="47"/>
        <v>2</v>
      </c>
      <c r="W78" s="96">
        <f t="shared" si="48"/>
        <v>0.4</v>
      </c>
      <c r="X78" s="98">
        <f t="shared" si="49"/>
        <v>0.6</v>
      </c>
      <c r="Y78" s="97">
        <f t="shared" si="55"/>
        <v>2.1818181818181821</v>
      </c>
      <c r="Z78" s="96">
        <f t="shared" si="56"/>
        <v>8.4929292929292934</v>
      </c>
      <c r="AA78" s="96">
        <f t="shared" si="57"/>
        <v>2.6018289659319374</v>
      </c>
      <c r="AB78" s="96">
        <v>0</v>
      </c>
      <c r="AC78" s="96">
        <f t="shared" si="58"/>
        <v>6.7695139679624539E-2</v>
      </c>
      <c r="AD78" s="98">
        <f t="shared" si="59"/>
        <v>6.7695139679624539E-2</v>
      </c>
      <c r="AE78" s="97">
        <f t="shared" si="60"/>
        <v>3.8236918518518532</v>
      </c>
      <c r="AF78" s="96">
        <f t="shared" si="61"/>
        <v>2.6018289659319374</v>
      </c>
      <c r="AG78" s="96">
        <f t="shared" si="50"/>
        <v>3.3847569839812269E-2</v>
      </c>
      <c r="AH78" s="96">
        <f t="shared" si="51"/>
        <v>2.1603042682067901</v>
      </c>
      <c r="AI78" s="98">
        <f t="shared" si="62"/>
        <v>2.1941518380466025</v>
      </c>
      <c r="AJ78" s="97">
        <f t="shared" si="63"/>
        <v>3.7866666666666671</v>
      </c>
      <c r="AK78" s="96">
        <f t="shared" si="64"/>
        <v>5.7542991207960972</v>
      </c>
      <c r="AL78" s="96">
        <f t="shared" si="65"/>
        <v>0.24613333333333337</v>
      </c>
      <c r="AM78" s="96">
        <f t="shared" si="52"/>
        <v>4.8104000000000005</v>
      </c>
      <c r="AN78" s="98">
        <f t="shared" si="66"/>
        <v>5.0565333333333342</v>
      </c>
      <c r="AO78" s="97">
        <f t="shared" si="53"/>
        <v>2.7078055871849818E-2</v>
      </c>
      <c r="AP78" s="96">
        <f t="shared" si="54"/>
        <v>0.12150000000000002</v>
      </c>
      <c r="AQ78" s="98">
        <f t="shared" si="67"/>
        <v>8.0999999999999996E-3</v>
      </c>
      <c r="AR78" s="97">
        <f t="shared" si="68"/>
        <v>7.4073632272517864</v>
      </c>
      <c r="AS78" s="96">
        <f t="shared" si="69"/>
        <v>45.440000000000005</v>
      </c>
      <c r="AT78" s="98">
        <f t="shared" si="70"/>
        <v>85.983476232486794</v>
      </c>
    </row>
    <row r="79" spans="17:46" x14ac:dyDescent="0.3">
      <c r="Q79" s="32">
        <v>72</v>
      </c>
      <c r="R79" s="97">
        <f t="shared" si="43"/>
        <v>12</v>
      </c>
      <c r="S79" s="96">
        <f t="shared" si="44"/>
        <v>3.8400000000000003</v>
      </c>
      <c r="T79" s="96">
        <f t="shared" si="45"/>
        <v>18</v>
      </c>
      <c r="U79" s="98">
        <f t="shared" si="46"/>
        <v>2.5600000000000005</v>
      </c>
      <c r="V79" s="97">
        <f t="shared" si="47"/>
        <v>2</v>
      </c>
      <c r="W79" s="96">
        <f t="shared" si="48"/>
        <v>0.4</v>
      </c>
      <c r="X79" s="98">
        <f t="shared" si="49"/>
        <v>0.6</v>
      </c>
      <c r="Y79" s="97">
        <f t="shared" si="55"/>
        <v>2.1818181818181821</v>
      </c>
      <c r="Z79" s="96">
        <f t="shared" si="56"/>
        <v>8.581818181818182</v>
      </c>
      <c r="AA79" s="96">
        <f t="shared" si="57"/>
        <v>2.6363410657341051</v>
      </c>
      <c r="AB79" s="96">
        <v>0</v>
      </c>
      <c r="AC79" s="96">
        <f t="shared" si="58"/>
        <v>6.9502942148760377E-2</v>
      </c>
      <c r="AD79" s="98">
        <f t="shared" si="59"/>
        <v>6.9502942148760377E-2</v>
      </c>
      <c r="AE79" s="97">
        <f t="shared" si="60"/>
        <v>3.9321600000000014</v>
      </c>
      <c r="AF79" s="96">
        <f t="shared" si="61"/>
        <v>2.6363410657341051</v>
      </c>
      <c r="AG79" s="96">
        <f t="shared" si="50"/>
        <v>3.4751471074380189E-2</v>
      </c>
      <c r="AH79" s="96">
        <f t="shared" si="51"/>
        <v>2.1907310888857587</v>
      </c>
      <c r="AI79" s="98">
        <f t="shared" si="62"/>
        <v>2.2254825599601391</v>
      </c>
      <c r="AJ79" s="97">
        <f t="shared" si="63"/>
        <v>3.8400000000000003</v>
      </c>
      <c r="AK79" s="96">
        <f t="shared" si="64"/>
        <v>5.8229071720133314</v>
      </c>
      <c r="AL79" s="96">
        <f t="shared" si="65"/>
        <v>0.24960000000000002</v>
      </c>
      <c r="AM79" s="96">
        <f t="shared" si="52"/>
        <v>4.8104000000000005</v>
      </c>
      <c r="AN79" s="98">
        <f t="shared" si="66"/>
        <v>5.0600000000000005</v>
      </c>
      <c r="AO79" s="97">
        <f t="shared" si="53"/>
        <v>2.7801176859504149E-2</v>
      </c>
      <c r="AP79" s="96">
        <f t="shared" si="54"/>
        <v>0.12150000000000002</v>
      </c>
      <c r="AQ79" s="98">
        <f t="shared" si="67"/>
        <v>8.0999999999999996E-3</v>
      </c>
      <c r="AR79" s="97">
        <f t="shared" si="68"/>
        <v>7.4428837368196437</v>
      </c>
      <c r="AS79" s="96">
        <f t="shared" si="69"/>
        <v>46.080000000000005</v>
      </c>
      <c r="AT79" s="98">
        <f t="shared" si="70"/>
        <v>86.094015835511655</v>
      </c>
    </row>
    <row r="80" spans="17:46" x14ac:dyDescent="0.3">
      <c r="Q80" s="32">
        <v>73</v>
      </c>
      <c r="R80" s="97">
        <f t="shared" si="43"/>
        <v>12</v>
      </c>
      <c r="S80" s="96">
        <f t="shared" si="44"/>
        <v>3.8933333333333335</v>
      </c>
      <c r="T80" s="96">
        <f t="shared" si="45"/>
        <v>18</v>
      </c>
      <c r="U80" s="98">
        <f t="shared" si="46"/>
        <v>2.5955555555555554</v>
      </c>
      <c r="V80" s="97">
        <f t="shared" si="47"/>
        <v>2</v>
      </c>
      <c r="W80" s="96">
        <f t="shared" si="48"/>
        <v>0.4</v>
      </c>
      <c r="X80" s="98">
        <f t="shared" si="49"/>
        <v>0.6</v>
      </c>
      <c r="Y80" s="97">
        <f t="shared" si="55"/>
        <v>2.1818181818181821</v>
      </c>
      <c r="Z80" s="96">
        <f t="shared" si="56"/>
        <v>8.6707070707070706</v>
      </c>
      <c r="AA80" s="96">
        <f t="shared" si="57"/>
        <v>2.6708805396069928</v>
      </c>
      <c r="AB80" s="96">
        <v>0</v>
      </c>
      <c r="AC80" s="96">
        <f t="shared" si="58"/>
        <v>7.1336028568513413E-2</v>
      </c>
      <c r="AD80" s="98">
        <f t="shared" si="59"/>
        <v>7.1336028568513413E-2</v>
      </c>
      <c r="AE80" s="97">
        <f t="shared" si="60"/>
        <v>4.0421451851851851</v>
      </c>
      <c r="AF80" s="96">
        <f t="shared" si="61"/>
        <v>2.6708805396069928</v>
      </c>
      <c r="AG80" s="96">
        <f t="shared" si="50"/>
        <v>3.5668014284256706E-2</v>
      </c>
      <c r="AH80" s="96">
        <f t="shared" si="51"/>
        <v>2.2211579095647274</v>
      </c>
      <c r="AI80" s="98">
        <f t="shared" si="62"/>
        <v>2.2568259238489841</v>
      </c>
      <c r="AJ80" s="97">
        <f t="shared" si="63"/>
        <v>3.8933333333333335</v>
      </c>
      <c r="AK80" s="96">
        <f t="shared" si="64"/>
        <v>5.8915209392528967</v>
      </c>
      <c r="AL80" s="96">
        <f t="shared" si="65"/>
        <v>0.25306666666666666</v>
      </c>
      <c r="AM80" s="96">
        <f t="shared" si="52"/>
        <v>4.8104000000000005</v>
      </c>
      <c r="AN80" s="98">
        <f t="shared" si="66"/>
        <v>5.0634666666666668</v>
      </c>
      <c r="AO80" s="97">
        <f t="shared" si="53"/>
        <v>2.8534411427405364E-2</v>
      </c>
      <c r="AP80" s="96">
        <f t="shared" si="54"/>
        <v>0.12150000000000002</v>
      </c>
      <c r="AQ80" s="98">
        <f t="shared" si="67"/>
        <v>8.0999999999999996E-3</v>
      </c>
      <c r="AR80" s="97">
        <f t="shared" si="68"/>
        <v>7.4784270019430563</v>
      </c>
      <c r="AS80" s="96">
        <f t="shared" si="69"/>
        <v>46.72</v>
      </c>
      <c r="AT80" s="98">
        <f t="shared" si="70"/>
        <v>86.201763749204488</v>
      </c>
    </row>
    <row r="81" spans="17:46" x14ac:dyDescent="0.3">
      <c r="Q81" s="32">
        <v>74</v>
      </c>
      <c r="R81" s="97">
        <f t="shared" si="43"/>
        <v>12</v>
      </c>
      <c r="S81" s="96">
        <f t="shared" si="44"/>
        <v>3.9466666666666668</v>
      </c>
      <c r="T81" s="96">
        <f t="shared" si="45"/>
        <v>18</v>
      </c>
      <c r="U81" s="98">
        <f t="shared" si="46"/>
        <v>2.6311111111111112</v>
      </c>
      <c r="V81" s="97">
        <f t="shared" si="47"/>
        <v>2</v>
      </c>
      <c r="W81" s="96">
        <f t="shared" si="48"/>
        <v>0.4</v>
      </c>
      <c r="X81" s="98">
        <f t="shared" si="49"/>
        <v>0.6</v>
      </c>
      <c r="Y81" s="97">
        <f t="shared" si="55"/>
        <v>2.1818181818181821</v>
      </c>
      <c r="Z81" s="96">
        <f t="shared" si="56"/>
        <v>8.7595959595959592</v>
      </c>
      <c r="AA81" s="96">
        <f t="shared" si="57"/>
        <v>2.7054463391256496</v>
      </c>
      <c r="AB81" s="96">
        <v>0</v>
      </c>
      <c r="AC81" s="96">
        <f t="shared" si="58"/>
        <v>7.3194398938883798E-2</v>
      </c>
      <c r="AD81" s="98">
        <f t="shared" si="59"/>
        <v>7.3194398938883798E-2</v>
      </c>
      <c r="AE81" s="97">
        <f t="shared" si="60"/>
        <v>4.1536474074074077</v>
      </c>
      <c r="AF81" s="96">
        <f t="shared" si="61"/>
        <v>2.7054463391256496</v>
      </c>
      <c r="AG81" s="96">
        <f t="shared" si="50"/>
        <v>3.6597199469441899E-2</v>
      </c>
      <c r="AH81" s="96">
        <f t="shared" si="51"/>
        <v>2.2515847302436964</v>
      </c>
      <c r="AI81" s="98">
        <f t="shared" si="62"/>
        <v>2.2881819297131383</v>
      </c>
      <c r="AJ81" s="97">
        <f t="shared" si="63"/>
        <v>3.9466666666666668</v>
      </c>
      <c r="AK81" s="96">
        <f t="shared" si="64"/>
        <v>5.9601402251044275</v>
      </c>
      <c r="AL81" s="96">
        <f t="shared" si="65"/>
        <v>0.25653333333333334</v>
      </c>
      <c r="AM81" s="96">
        <f t="shared" si="52"/>
        <v>4.8104000000000005</v>
      </c>
      <c r="AN81" s="98">
        <f t="shared" si="66"/>
        <v>5.066933333333334</v>
      </c>
      <c r="AO81" s="97">
        <f t="shared" si="53"/>
        <v>2.9277759575553518E-2</v>
      </c>
      <c r="AP81" s="96">
        <f t="shared" si="54"/>
        <v>0.12150000000000002</v>
      </c>
      <c r="AQ81" s="98">
        <f t="shared" si="67"/>
        <v>8.0999999999999996E-3</v>
      </c>
      <c r="AR81" s="97">
        <f t="shared" si="68"/>
        <v>7.5139930226220253</v>
      </c>
      <c r="AS81" s="96">
        <f t="shared" si="69"/>
        <v>47.36</v>
      </c>
      <c r="AT81" s="98">
        <f t="shared" si="70"/>
        <v>86.306822943385313</v>
      </c>
    </row>
    <row r="82" spans="17:46" x14ac:dyDescent="0.3">
      <c r="Q82" s="32">
        <v>75</v>
      </c>
      <c r="R82" s="97">
        <f t="shared" si="43"/>
        <v>12</v>
      </c>
      <c r="S82" s="96">
        <f t="shared" si="44"/>
        <v>4</v>
      </c>
      <c r="T82" s="96">
        <f t="shared" si="45"/>
        <v>18</v>
      </c>
      <c r="U82" s="98">
        <f t="shared" si="46"/>
        <v>2.6666666666666665</v>
      </c>
      <c r="V82" s="97">
        <f t="shared" si="47"/>
        <v>2</v>
      </c>
      <c r="W82" s="96">
        <f t="shared" si="48"/>
        <v>0.4</v>
      </c>
      <c r="X82" s="98">
        <f t="shared" si="49"/>
        <v>0.6</v>
      </c>
      <c r="Y82" s="97">
        <f t="shared" si="55"/>
        <v>2.1818181818181821</v>
      </c>
      <c r="Z82" s="96">
        <f t="shared" si="56"/>
        <v>8.8484848484848477</v>
      </c>
      <c r="AA82" s="96">
        <f t="shared" si="57"/>
        <v>2.740037467989652</v>
      </c>
      <c r="AB82" s="96">
        <v>0</v>
      </c>
      <c r="AC82" s="96">
        <f t="shared" si="58"/>
        <v>7.5078053259871436E-2</v>
      </c>
      <c r="AD82" s="98">
        <f t="shared" si="59"/>
        <v>7.5078053259871436E-2</v>
      </c>
      <c r="AE82" s="97">
        <f t="shared" si="60"/>
        <v>4.2666666666666666</v>
      </c>
      <c r="AF82" s="96">
        <f t="shared" si="61"/>
        <v>2.740037467989652</v>
      </c>
      <c r="AG82" s="96">
        <f t="shared" si="50"/>
        <v>3.7539026629935718E-2</v>
      </c>
      <c r="AH82" s="96">
        <f t="shared" si="51"/>
        <v>2.2820115509226651</v>
      </c>
      <c r="AI82" s="98">
        <f t="shared" si="62"/>
        <v>2.3195505775526009</v>
      </c>
      <c r="AJ82" s="97">
        <f t="shared" si="63"/>
        <v>4</v>
      </c>
      <c r="AK82" s="96">
        <f t="shared" si="64"/>
        <v>6.0287648411297203</v>
      </c>
      <c r="AL82" s="96">
        <f t="shared" si="65"/>
        <v>0.26</v>
      </c>
      <c r="AM82" s="96">
        <f t="shared" si="52"/>
        <v>4.8104000000000005</v>
      </c>
      <c r="AN82" s="98">
        <f t="shared" si="66"/>
        <v>5.0704000000000002</v>
      </c>
      <c r="AO82" s="97">
        <f t="shared" si="53"/>
        <v>3.0031221303948575E-2</v>
      </c>
      <c r="AP82" s="96">
        <f t="shared" si="54"/>
        <v>0.12150000000000002</v>
      </c>
      <c r="AQ82" s="98">
        <f t="shared" si="67"/>
        <v>8.0999999999999996E-3</v>
      </c>
      <c r="AR82" s="97">
        <f t="shared" si="68"/>
        <v>7.5495817988565497</v>
      </c>
      <c r="AS82" s="96">
        <f t="shared" si="69"/>
        <v>48</v>
      </c>
      <c r="AT82" s="98">
        <f t="shared" si="70"/>
        <v>86.409291385498861</v>
      </c>
    </row>
    <row r="83" spans="17:46" x14ac:dyDescent="0.3">
      <c r="Q83" s="32">
        <v>76</v>
      </c>
      <c r="R83" s="97">
        <f t="shared" si="43"/>
        <v>12</v>
      </c>
      <c r="S83" s="96">
        <f t="shared" si="44"/>
        <v>4.0533333333333337</v>
      </c>
      <c r="T83" s="96">
        <f t="shared" si="45"/>
        <v>18</v>
      </c>
      <c r="U83" s="98">
        <f t="shared" si="46"/>
        <v>2.7022222222222223</v>
      </c>
      <c r="V83" s="97">
        <f t="shared" si="47"/>
        <v>2</v>
      </c>
      <c r="W83" s="96">
        <f t="shared" si="48"/>
        <v>0.4</v>
      </c>
      <c r="X83" s="98">
        <f t="shared" si="49"/>
        <v>0.6</v>
      </c>
      <c r="Y83" s="97">
        <f t="shared" si="55"/>
        <v>2.1818181818181821</v>
      </c>
      <c r="Z83" s="96">
        <f t="shared" si="56"/>
        <v>8.9373737373737381</v>
      </c>
      <c r="AA83" s="96">
        <f t="shared" si="57"/>
        <v>2.7746529788691845</v>
      </c>
      <c r="AB83" s="96">
        <v>0</v>
      </c>
      <c r="AC83" s="96">
        <f t="shared" si="58"/>
        <v>7.6986991531476395E-2</v>
      </c>
      <c r="AD83" s="98">
        <f t="shared" si="59"/>
        <v>7.6986991531476395E-2</v>
      </c>
      <c r="AE83" s="97">
        <f t="shared" si="60"/>
        <v>4.3812029629629636</v>
      </c>
      <c r="AF83" s="96">
        <f t="shared" si="61"/>
        <v>2.7746529788691845</v>
      </c>
      <c r="AG83" s="96">
        <f t="shared" si="50"/>
        <v>3.8493495765738198E-2</v>
      </c>
      <c r="AH83" s="96">
        <f t="shared" si="51"/>
        <v>2.3124383716016346</v>
      </c>
      <c r="AI83" s="98">
        <f t="shared" si="62"/>
        <v>2.3509318673673727</v>
      </c>
      <c r="AJ83" s="97">
        <f t="shared" si="63"/>
        <v>4.0533333333333337</v>
      </c>
      <c r="AK83" s="96">
        <f t="shared" si="64"/>
        <v>6.0973946073595533</v>
      </c>
      <c r="AL83" s="96">
        <f t="shared" si="65"/>
        <v>0.26346666666666668</v>
      </c>
      <c r="AM83" s="96">
        <f t="shared" si="52"/>
        <v>4.8104000000000005</v>
      </c>
      <c r="AN83" s="98">
        <f t="shared" si="66"/>
        <v>5.0738666666666674</v>
      </c>
      <c r="AO83" s="97">
        <f t="shared" si="53"/>
        <v>3.0794796612590557E-2</v>
      </c>
      <c r="AP83" s="96">
        <f t="shared" si="54"/>
        <v>0.12150000000000002</v>
      </c>
      <c r="AQ83" s="98">
        <f t="shared" si="67"/>
        <v>8.0999999999999996E-3</v>
      </c>
      <c r="AR83" s="97">
        <f t="shared" si="68"/>
        <v>7.5851933306466304</v>
      </c>
      <c r="AS83" s="96">
        <f t="shared" si="69"/>
        <v>48.64</v>
      </c>
      <c r="AT83" s="98">
        <f t="shared" si="70"/>
        <v>86.509262340744726</v>
      </c>
    </row>
    <row r="84" spans="17:46" x14ac:dyDescent="0.3">
      <c r="Q84" s="32">
        <v>77</v>
      </c>
      <c r="R84" s="97">
        <f t="shared" si="43"/>
        <v>12</v>
      </c>
      <c r="S84" s="96">
        <f t="shared" si="44"/>
        <v>4.1066666666666674</v>
      </c>
      <c r="T84" s="96">
        <f t="shared" si="45"/>
        <v>18</v>
      </c>
      <c r="U84" s="98">
        <f t="shared" si="46"/>
        <v>2.7377777777777781</v>
      </c>
      <c r="V84" s="97">
        <f t="shared" si="47"/>
        <v>2</v>
      </c>
      <c r="W84" s="96">
        <f t="shared" si="48"/>
        <v>0.4</v>
      </c>
      <c r="X84" s="98">
        <f t="shared" si="49"/>
        <v>0.6</v>
      </c>
      <c r="Y84" s="97">
        <f t="shared" si="55"/>
        <v>2.1818181818181821</v>
      </c>
      <c r="Z84" s="96">
        <f t="shared" si="56"/>
        <v>9.0262626262626267</v>
      </c>
      <c r="AA84" s="96">
        <f t="shared" si="57"/>
        <v>2.8092919704740309</v>
      </c>
      <c r="AB84" s="96">
        <v>0</v>
      </c>
      <c r="AC84" s="96">
        <f t="shared" si="58"/>
        <v>7.8921213753698635E-2</v>
      </c>
      <c r="AD84" s="98">
        <f t="shared" si="59"/>
        <v>7.8921213753698635E-2</v>
      </c>
      <c r="AE84" s="97">
        <f t="shared" si="60"/>
        <v>4.4972562962962979</v>
      </c>
      <c r="AF84" s="96">
        <f t="shared" si="61"/>
        <v>2.8092919704740309</v>
      </c>
      <c r="AG84" s="96">
        <f t="shared" si="50"/>
        <v>3.9460606876849318E-2</v>
      </c>
      <c r="AH84" s="96">
        <f t="shared" si="51"/>
        <v>2.3428651922806032</v>
      </c>
      <c r="AI84" s="98">
        <f t="shared" si="62"/>
        <v>2.3823257991574525</v>
      </c>
      <c r="AJ84" s="97">
        <f t="shared" si="63"/>
        <v>4.1066666666666674</v>
      </c>
      <c r="AK84" s="96">
        <f t="shared" si="64"/>
        <v>6.166029351823938</v>
      </c>
      <c r="AL84" s="96">
        <f t="shared" si="65"/>
        <v>0.26693333333333341</v>
      </c>
      <c r="AM84" s="96">
        <f t="shared" si="52"/>
        <v>4.8104000000000005</v>
      </c>
      <c r="AN84" s="98">
        <f t="shared" si="66"/>
        <v>5.0773333333333337</v>
      </c>
      <c r="AO84" s="97">
        <f t="shared" si="53"/>
        <v>3.1568485501479455E-2</v>
      </c>
      <c r="AP84" s="96">
        <f t="shared" si="54"/>
        <v>0.12150000000000002</v>
      </c>
      <c r="AQ84" s="98">
        <f t="shared" si="67"/>
        <v>8.0999999999999996E-3</v>
      </c>
      <c r="AR84" s="97">
        <f t="shared" si="68"/>
        <v>7.6208276179922656</v>
      </c>
      <c r="AS84" s="96">
        <f t="shared" si="69"/>
        <v>49.280000000000008</v>
      </c>
      <c r="AT84" s="98">
        <f t="shared" si="70"/>
        <v>86.606824650855287</v>
      </c>
    </row>
    <row r="85" spans="17:46" x14ac:dyDescent="0.3">
      <c r="Q85" s="32">
        <v>78</v>
      </c>
      <c r="R85" s="97">
        <f t="shared" si="43"/>
        <v>12</v>
      </c>
      <c r="S85" s="96">
        <f t="shared" si="44"/>
        <v>4.16</v>
      </c>
      <c r="T85" s="96">
        <f t="shared" si="45"/>
        <v>18</v>
      </c>
      <c r="U85" s="98">
        <f t="shared" si="46"/>
        <v>2.7733333333333334</v>
      </c>
      <c r="V85" s="97">
        <f t="shared" si="47"/>
        <v>2</v>
      </c>
      <c r="W85" s="96">
        <f t="shared" si="48"/>
        <v>0.4</v>
      </c>
      <c r="X85" s="98">
        <f t="shared" si="49"/>
        <v>0.6</v>
      </c>
      <c r="Y85" s="97">
        <f t="shared" si="55"/>
        <v>2.1818181818181821</v>
      </c>
      <c r="Z85" s="96">
        <f t="shared" si="56"/>
        <v>9.1151515151515152</v>
      </c>
      <c r="AA85" s="96">
        <f t="shared" si="57"/>
        <v>2.8439535848276094</v>
      </c>
      <c r="AB85" s="96">
        <v>0</v>
      </c>
      <c r="AC85" s="96">
        <f t="shared" si="58"/>
        <v>8.0880719926538114E-2</v>
      </c>
      <c r="AD85" s="98">
        <f t="shared" si="59"/>
        <v>8.0880719926538114E-2</v>
      </c>
      <c r="AE85" s="97">
        <f t="shared" si="60"/>
        <v>4.6148266666666675</v>
      </c>
      <c r="AF85" s="96">
        <f t="shared" si="61"/>
        <v>2.8439535848276094</v>
      </c>
      <c r="AG85" s="96">
        <f t="shared" si="50"/>
        <v>4.0440359963269057E-2</v>
      </c>
      <c r="AH85" s="96">
        <f t="shared" si="51"/>
        <v>2.3732920129595723</v>
      </c>
      <c r="AI85" s="98">
        <f t="shared" si="62"/>
        <v>2.4137323729228415</v>
      </c>
      <c r="AJ85" s="97">
        <f t="shared" si="63"/>
        <v>4.16</v>
      </c>
      <c r="AK85" s="96">
        <f t="shared" si="64"/>
        <v>6.2346689101132524</v>
      </c>
      <c r="AL85" s="96">
        <f t="shared" si="65"/>
        <v>0.27040000000000003</v>
      </c>
      <c r="AM85" s="96">
        <f t="shared" si="52"/>
        <v>4.8104000000000005</v>
      </c>
      <c r="AN85" s="98">
        <f t="shared" si="66"/>
        <v>5.0808000000000009</v>
      </c>
      <c r="AO85" s="97">
        <f t="shared" si="53"/>
        <v>3.2352287970615241E-2</v>
      </c>
      <c r="AP85" s="96">
        <f t="shared" si="54"/>
        <v>0.12150000000000002</v>
      </c>
      <c r="AQ85" s="98">
        <f t="shared" si="67"/>
        <v>8.0999999999999996E-3</v>
      </c>
      <c r="AR85" s="97">
        <f t="shared" si="68"/>
        <v>7.6564846608934571</v>
      </c>
      <c r="AS85" s="96">
        <f t="shared" si="69"/>
        <v>49.92</v>
      </c>
      <c r="AT85" s="98">
        <f t="shared" si="70"/>
        <v>86.702062993272989</v>
      </c>
    </row>
    <row r="86" spans="17:46" x14ac:dyDescent="0.3">
      <c r="Q86" s="32">
        <v>79</v>
      </c>
      <c r="R86" s="97">
        <f t="shared" si="43"/>
        <v>12</v>
      </c>
      <c r="S86" s="96">
        <f t="shared" si="44"/>
        <v>4.2133333333333338</v>
      </c>
      <c r="T86" s="96">
        <f t="shared" si="45"/>
        <v>18</v>
      </c>
      <c r="U86" s="98">
        <f t="shared" si="46"/>
        <v>2.8088888888888892</v>
      </c>
      <c r="V86" s="97">
        <f t="shared" si="47"/>
        <v>2</v>
      </c>
      <c r="W86" s="96">
        <f t="shared" si="48"/>
        <v>0.4</v>
      </c>
      <c r="X86" s="98">
        <f t="shared" si="49"/>
        <v>0.6</v>
      </c>
      <c r="Y86" s="97">
        <f t="shared" si="55"/>
        <v>2.1818181818181821</v>
      </c>
      <c r="Z86" s="96">
        <f t="shared" si="56"/>
        <v>9.2040404040404056</v>
      </c>
      <c r="AA86" s="96">
        <f t="shared" si="57"/>
        <v>2.8786370047297543</v>
      </c>
      <c r="AB86" s="96">
        <v>0</v>
      </c>
      <c r="AC86" s="96">
        <f t="shared" si="58"/>
        <v>8.2865510049994914E-2</v>
      </c>
      <c r="AD86" s="98">
        <f t="shared" si="59"/>
        <v>8.2865510049994914E-2</v>
      </c>
      <c r="AE86" s="97">
        <f t="shared" si="60"/>
        <v>4.7339140740740753</v>
      </c>
      <c r="AF86" s="96">
        <f t="shared" si="61"/>
        <v>2.8786370047297543</v>
      </c>
      <c r="AG86" s="96">
        <f t="shared" si="50"/>
        <v>4.1432755024997457E-2</v>
      </c>
      <c r="AH86" s="96">
        <f t="shared" si="51"/>
        <v>2.4037188336385413</v>
      </c>
      <c r="AI86" s="98">
        <f t="shared" si="62"/>
        <v>2.4451515886635389</v>
      </c>
      <c r="AJ86" s="97">
        <f t="shared" si="63"/>
        <v>4.2133333333333338</v>
      </c>
      <c r="AK86" s="96">
        <f t="shared" si="64"/>
        <v>6.3033131249679109</v>
      </c>
      <c r="AL86" s="96">
        <f t="shared" si="65"/>
        <v>0.2738666666666667</v>
      </c>
      <c r="AM86" s="96">
        <f t="shared" si="52"/>
        <v>4.8104000000000005</v>
      </c>
      <c r="AN86" s="98">
        <f t="shared" si="66"/>
        <v>5.0842666666666672</v>
      </c>
      <c r="AO86" s="97">
        <f t="shared" si="53"/>
        <v>3.3146204019997967E-2</v>
      </c>
      <c r="AP86" s="96">
        <f t="shared" si="54"/>
        <v>0.12150000000000002</v>
      </c>
      <c r="AQ86" s="98">
        <f t="shared" si="67"/>
        <v>8.0999999999999996E-3</v>
      </c>
      <c r="AR86" s="97">
        <f t="shared" si="68"/>
        <v>7.6921644593502041</v>
      </c>
      <c r="AS86" s="96">
        <f t="shared" si="69"/>
        <v>50.56</v>
      </c>
      <c r="AT86" s="98">
        <f t="shared" si="70"/>
        <v>86.795058122315808</v>
      </c>
    </row>
    <row r="87" spans="17:46" x14ac:dyDescent="0.3">
      <c r="Q87" s="32">
        <v>80</v>
      </c>
      <c r="R87" s="97">
        <f t="shared" si="43"/>
        <v>12</v>
      </c>
      <c r="S87" s="96">
        <f t="shared" si="44"/>
        <v>4.2666666666666666</v>
      </c>
      <c r="T87" s="96">
        <f t="shared" si="45"/>
        <v>18</v>
      </c>
      <c r="U87" s="98">
        <f t="shared" si="46"/>
        <v>2.8444444444444446</v>
      </c>
      <c r="V87" s="97">
        <f t="shared" si="47"/>
        <v>2</v>
      </c>
      <c r="W87" s="96">
        <f t="shared" si="48"/>
        <v>0.4</v>
      </c>
      <c r="X87" s="98">
        <f t="shared" si="49"/>
        <v>0.6</v>
      </c>
      <c r="Y87" s="97">
        <f t="shared" si="55"/>
        <v>2.1818181818181821</v>
      </c>
      <c r="Z87" s="96">
        <f t="shared" si="56"/>
        <v>9.2929292929292924</v>
      </c>
      <c r="AA87" s="96">
        <f t="shared" si="57"/>
        <v>2.9133414513933822</v>
      </c>
      <c r="AB87" s="96">
        <v>0</v>
      </c>
      <c r="AC87" s="96">
        <f t="shared" si="58"/>
        <v>8.4875584124068981E-2</v>
      </c>
      <c r="AD87" s="98">
        <f t="shared" si="59"/>
        <v>8.4875584124068981E-2</v>
      </c>
      <c r="AE87" s="97">
        <f t="shared" si="60"/>
        <v>4.8545185185185193</v>
      </c>
      <c r="AF87" s="96">
        <f t="shared" si="61"/>
        <v>2.9133414513933822</v>
      </c>
      <c r="AG87" s="96">
        <f t="shared" si="50"/>
        <v>4.2437792062034491E-2</v>
      </c>
      <c r="AH87" s="96">
        <f t="shared" si="51"/>
        <v>2.4341456543175095</v>
      </c>
      <c r="AI87" s="98">
        <f t="shared" si="62"/>
        <v>2.4765834463795442</v>
      </c>
      <c r="AJ87" s="97">
        <f t="shared" si="63"/>
        <v>4.2666666666666666</v>
      </c>
      <c r="AK87" s="96">
        <f t="shared" si="64"/>
        <v>6.3719618458944121</v>
      </c>
      <c r="AL87" s="96">
        <f t="shared" si="65"/>
        <v>0.27733333333333332</v>
      </c>
      <c r="AM87" s="96">
        <f t="shared" si="52"/>
        <v>4.8104000000000005</v>
      </c>
      <c r="AN87" s="98">
        <f t="shared" si="66"/>
        <v>5.0877333333333334</v>
      </c>
      <c r="AO87" s="97">
        <f t="shared" si="53"/>
        <v>3.3950233649627591E-2</v>
      </c>
      <c r="AP87" s="96">
        <f t="shared" si="54"/>
        <v>0.12150000000000002</v>
      </c>
      <c r="AQ87" s="98">
        <f t="shared" si="67"/>
        <v>8.0999999999999996E-3</v>
      </c>
      <c r="AR87" s="97">
        <f t="shared" si="68"/>
        <v>7.7278670133625056</v>
      </c>
      <c r="AS87" s="96">
        <f t="shared" si="69"/>
        <v>51.2</v>
      </c>
      <c r="AT87" s="98">
        <f t="shared" si="70"/>
        <v>86.885887093774954</v>
      </c>
    </row>
    <row r="88" spans="17:46" x14ac:dyDescent="0.3">
      <c r="Q88" s="32">
        <v>81</v>
      </c>
      <c r="R88" s="97">
        <f t="shared" si="43"/>
        <v>12</v>
      </c>
      <c r="S88" s="96">
        <f t="shared" si="44"/>
        <v>4.32</v>
      </c>
      <c r="T88" s="96">
        <f t="shared" si="45"/>
        <v>18</v>
      </c>
      <c r="U88" s="98">
        <f t="shared" si="46"/>
        <v>2.8800000000000003</v>
      </c>
      <c r="V88" s="97">
        <f t="shared" si="47"/>
        <v>2</v>
      </c>
      <c r="W88" s="96">
        <f t="shared" si="48"/>
        <v>0.4</v>
      </c>
      <c r="X88" s="98">
        <f t="shared" si="49"/>
        <v>0.6</v>
      </c>
      <c r="Y88" s="97">
        <f t="shared" si="55"/>
        <v>2.1818181818181821</v>
      </c>
      <c r="Z88" s="96">
        <f t="shared" si="56"/>
        <v>9.3818181818181827</v>
      </c>
      <c r="AA88" s="96">
        <f t="shared" si="57"/>
        <v>2.9480661822415106</v>
      </c>
      <c r="AB88" s="96">
        <v>0</v>
      </c>
      <c r="AC88" s="96">
        <f t="shared" si="58"/>
        <v>8.691094214876037E-2</v>
      </c>
      <c r="AD88" s="98">
        <f t="shared" si="59"/>
        <v>8.691094214876037E-2</v>
      </c>
      <c r="AE88" s="97">
        <f t="shared" si="60"/>
        <v>4.9766400000000015</v>
      </c>
      <c r="AF88" s="96">
        <f t="shared" si="61"/>
        <v>2.9480661822415106</v>
      </c>
      <c r="AG88" s="96">
        <f t="shared" si="50"/>
        <v>4.3455471074380185E-2</v>
      </c>
      <c r="AH88" s="96">
        <f t="shared" si="51"/>
        <v>2.464572474996479</v>
      </c>
      <c r="AI88" s="98">
        <f t="shared" si="62"/>
        <v>2.5080279460708592</v>
      </c>
      <c r="AJ88" s="97">
        <f t="shared" si="63"/>
        <v>4.32</v>
      </c>
      <c r="AK88" s="96">
        <f t="shared" si="64"/>
        <v>6.4406149288058687</v>
      </c>
      <c r="AL88" s="96">
        <f t="shared" si="65"/>
        <v>0.28080000000000005</v>
      </c>
      <c r="AM88" s="96">
        <f t="shared" si="52"/>
        <v>4.8104000000000005</v>
      </c>
      <c r="AN88" s="98">
        <f t="shared" si="66"/>
        <v>5.0912000000000006</v>
      </c>
      <c r="AO88" s="97">
        <f t="shared" si="53"/>
        <v>3.4764376859504148E-2</v>
      </c>
      <c r="AP88" s="96">
        <f t="shared" si="54"/>
        <v>0.12150000000000002</v>
      </c>
      <c r="AQ88" s="98">
        <f t="shared" si="67"/>
        <v>8.0999999999999996E-3</v>
      </c>
      <c r="AR88" s="97">
        <f t="shared" si="68"/>
        <v>7.7635923229303643</v>
      </c>
      <c r="AS88" s="96">
        <f t="shared" si="69"/>
        <v>51.84</v>
      </c>
      <c r="AT88" s="98">
        <f t="shared" si="70"/>
        <v>86.974623474257271</v>
      </c>
    </row>
    <row r="89" spans="17:46" x14ac:dyDescent="0.3">
      <c r="Q89" s="32">
        <v>82</v>
      </c>
      <c r="R89" s="97">
        <f t="shared" si="43"/>
        <v>12</v>
      </c>
      <c r="S89" s="96">
        <f t="shared" si="44"/>
        <v>4.373333333333334</v>
      </c>
      <c r="T89" s="96">
        <f t="shared" si="45"/>
        <v>18</v>
      </c>
      <c r="U89" s="98">
        <f t="shared" si="46"/>
        <v>2.9155555555555557</v>
      </c>
      <c r="V89" s="97">
        <f t="shared" si="47"/>
        <v>2</v>
      </c>
      <c r="W89" s="96">
        <f t="shared" si="48"/>
        <v>0.4</v>
      </c>
      <c r="X89" s="98">
        <f t="shared" si="49"/>
        <v>0.6</v>
      </c>
      <c r="Y89" s="97">
        <f t="shared" si="55"/>
        <v>2.1818181818181821</v>
      </c>
      <c r="Z89" s="96">
        <f t="shared" si="56"/>
        <v>9.4707070707070713</v>
      </c>
      <c r="AA89" s="96">
        <f t="shared" si="57"/>
        <v>2.9828104888522331</v>
      </c>
      <c r="AB89" s="96">
        <v>0</v>
      </c>
      <c r="AC89" s="96">
        <f t="shared" si="58"/>
        <v>8.897158412406897E-2</v>
      </c>
      <c r="AD89" s="98">
        <f t="shared" si="59"/>
        <v>8.897158412406897E-2</v>
      </c>
      <c r="AE89" s="97">
        <f t="shared" si="60"/>
        <v>5.10027851851852</v>
      </c>
      <c r="AF89" s="96">
        <f t="shared" si="61"/>
        <v>2.9828104888522331</v>
      </c>
      <c r="AG89" s="96">
        <f t="shared" si="50"/>
        <v>4.4485792062034485E-2</v>
      </c>
      <c r="AH89" s="96">
        <f t="shared" si="51"/>
        <v>2.4949992956754476</v>
      </c>
      <c r="AI89" s="98">
        <f t="shared" si="62"/>
        <v>2.5394850877374822</v>
      </c>
      <c r="AJ89" s="97">
        <f t="shared" si="63"/>
        <v>4.373333333333334</v>
      </c>
      <c r="AK89" s="96">
        <f t="shared" si="64"/>
        <v>6.5092722356851391</v>
      </c>
      <c r="AL89" s="96">
        <f t="shared" si="65"/>
        <v>0.28426666666666672</v>
      </c>
      <c r="AM89" s="96">
        <f t="shared" si="52"/>
        <v>4.8104000000000005</v>
      </c>
      <c r="AN89" s="98">
        <f t="shared" si="66"/>
        <v>5.0946666666666669</v>
      </c>
      <c r="AO89" s="97">
        <f t="shared" si="53"/>
        <v>3.5588633649627589E-2</v>
      </c>
      <c r="AP89" s="96">
        <f t="shared" si="54"/>
        <v>0.12150000000000002</v>
      </c>
      <c r="AQ89" s="98">
        <f t="shared" si="67"/>
        <v>8.0999999999999996E-3</v>
      </c>
      <c r="AR89" s="97">
        <f t="shared" si="68"/>
        <v>7.7993403880537766</v>
      </c>
      <c r="AS89" s="96">
        <f t="shared" si="69"/>
        <v>52.480000000000004</v>
      </c>
      <c r="AT89" s="98">
        <f t="shared" si="70"/>
        <v>87.061337536468031</v>
      </c>
    </row>
    <row r="90" spans="17:46" x14ac:dyDescent="0.3">
      <c r="Q90" s="32">
        <v>83</v>
      </c>
      <c r="R90" s="97">
        <f t="shared" si="43"/>
        <v>12</v>
      </c>
      <c r="S90" s="96">
        <f t="shared" si="44"/>
        <v>4.4266666666666667</v>
      </c>
      <c r="T90" s="96">
        <f t="shared" si="45"/>
        <v>18</v>
      </c>
      <c r="U90" s="98">
        <f t="shared" si="46"/>
        <v>2.9511111111111115</v>
      </c>
      <c r="V90" s="97">
        <f t="shared" si="47"/>
        <v>2</v>
      </c>
      <c r="W90" s="96">
        <f t="shared" si="48"/>
        <v>0.4</v>
      </c>
      <c r="X90" s="98">
        <f t="shared" si="49"/>
        <v>0.6</v>
      </c>
      <c r="Y90" s="97">
        <f t="shared" si="55"/>
        <v>2.1818181818181821</v>
      </c>
      <c r="Z90" s="96">
        <f t="shared" si="56"/>
        <v>9.5595959595959599</v>
      </c>
      <c r="AA90" s="96">
        <f t="shared" si="57"/>
        <v>3.0175736950403533</v>
      </c>
      <c r="AB90" s="96">
        <v>0</v>
      </c>
      <c r="AC90" s="96">
        <f t="shared" si="58"/>
        <v>9.1057510049994919E-2</v>
      </c>
      <c r="AD90" s="98">
        <f t="shared" si="59"/>
        <v>9.1057510049994919E-2</v>
      </c>
      <c r="AE90" s="97">
        <f t="shared" si="60"/>
        <v>5.2254340740740757</v>
      </c>
      <c r="AF90" s="96">
        <f t="shared" si="61"/>
        <v>3.0175736950403533</v>
      </c>
      <c r="AG90" s="96">
        <f t="shared" si="50"/>
        <v>4.552875502499746E-2</v>
      </c>
      <c r="AH90" s="96">
        <f t="shared" si="51"/>
        <v>2.5254261163544167</v>
      </c>
      <c r="AI90" s="98">
        <f t="shared" si="62"/>
        <v>2.5709548713794144</v>
      </c>
      <c r="AJ90" s="97">
        <f t="shared" si="63"/>
        <v>4.4266666666666667</v>
      </c>
      <c r="AK90" s="96">
        <f t="shared" si="64"/>
        <v>6.5779336342689909</v>
      </c>
      <c r="AL90" s="96">
        <f t="shared" si="65"/>
        <v>0.28773333333333334</v>
      </c>
      <c r="AM90" s="96">
        <f t="shared" si="52"/>
        <v>4.8104000000000005</v>
      </c>
      <c r="AN90" s="98">
        <f t="shared" si="66"/>
        <v>5.0981333333333341</v>
      </c>
      <c r="AO90" s="97">
        <f t="shared" si="53"/>
        <v>3.642300401999797E-2</v>
      </c>
      <c r="AP90" s="96">
        <f t="shared" si="54"/>
        <v>0.12150000000000002</v>
      </c>
      <c r="AQ90" s="98">
        <f t="shared" si="67"/>
        <v>8.0999999999999996E-3</v>
      </c>
      <c r="AR90" s="97">
        <f t="shared" si="68"/>
        <v>7.8351112087327461</v>
      </c>
      <c r="AS90" s="96">
        <f t="shared" si="69"/>
        <v>53.120000000000005</v>
      </c>
      <c r="AT90" s="98">
        <f t="shared" si="70"/>
        <v>87.14609644152327</v>
      </c>
    </row>
    <row r="91" spans="17:46" x14ac:dyDescent="0.3">
      <c r="Q91" s="32">
        <v>84</v>
      </c>
      <c r="R91" s="97">
        <f t="shared" si="43"/>
        <v>12</v>
      </c>
      <c r="S91" s="96">
        <f t="shared" si="44"/>
        <v>4.4800000000000004</v>
      </c>
      <c r="T91" s="96">
        <f t="shared" si="45"/>
        <v>18</v>
      </c>
      <c r="U91" s="98">
        <f t="shared" si="46"/>
        <v>2.9866666666666668</v>
      </c>
      <c r="V91" s="97">
        <f t="shared" si="47"/>
        <v>2</v>
      </c>
      <c r="W91" s="96">
        <f t="shared" si="48"/>
        <v>0.4</v>
      </c>
      <c r="X91" s="98">
        <f t="shared" si="49"/>
        <v>0.6</v>
      </c>
      <c r="Y91" s="97">
        <f t="shared" si="55"/>
        <v>2.1818181818181821</v>
      </c>
      <c r="Z91" s="96">
        <f t="shared" si="56"/>
        <v>9.6484848484848484</v>
      </c>
      <c r="AA91" s="96">
        <f t="shared" si="57"/>
        <v>3.0523551550653165</v>
      </c>
      <c r="AB91" s="96">
        <v>0</v>
      </c>
      <c r="AC91" s="96">
        <f t="shared" si="58"/>
        <v>9.3168719926538121E-2</v>
      </c>
      <c r="AD91" s="98">
        <f t="shared" si="59"/>
        <v>9.3168719926538121E-2</v>
      </c>
      <c r="AE91" s="97">
        <f t="shared" si="60"/>
        <v>5.3521066666666677</v>
      </c>
      <c r="AF91" s="96">
        <f t="shared" si="61"/>
        <v>3.0523551550653165</v>
      </c>
      <c r="AG91" s="96">
        <f t="shared" si="50"/>
        <v>4.6584359963269061E-2</v>
      </c>
      <c r="AH91" s="96">
        <f t="shared" si="51"/>
        <v>2.5558529370333853</v>
      </c>
      <c r="AI91" s="98">
        <f t="shared" si="62"/>
        <v>2.6024372969966545</v>
      </c>
      <c r="AJ91" s="97">
        <f t="shared" si="63"/>
        <v>4.4800000000000004</v>
      </c>
      <c r="AK91" s="96">
        <f t="shared" si="64"/>
        <v>6.6465989977517523</v>
      </c>
      <c r="AL91" s="96">
        <f t="shared" si="65"/>
        <v>0.29120000000000001</v>
      </c>
      <c r="AM91" s="96">
        <f t="shared" si="52"/>
        <v>4.8104000000000005</v>
      </c>
      <c r="AN91" s="98">
        <f t="shared" si="66"/>
        <v>5.1016000000000004</v>
      </c>
      <c r="AO91" s="97">
        <f t="shared" si="53"/>
        <v>3.726748797061525E-2</v>
      </c>
      <c r="AP91" s="96">
        <f t="shared" si="54"/>
        <v>0.12150000000000002</v>
      </c>
      <c r="AQ91" s="98">
        <f t="shared" si="67"/>
        <v>8.0999999999999996E-3</v>
      </c>
      <c r="AR91" s="97">
        <f t="shared" si="68"/>
        <v>7.8709047849672693</v>
      </c>
      <c r="AS91" s="96">
        <f t="shared" si="69"/>
        <v>53.760000000000005</v>
      </c>
      <c r="AT91" s="98">
        <f t="shared" si="70"/>
        <v>87.228964409285936</v>
      </c>
    </row>
    <row r="92" spans="17:46" x14ac:dyDescent="0.3">
      <c r="Q92" s="32">
        <v>85</v>
      </c>
      <c r="R92" s="97">
        <f t="shared" si="43"/>
        <v>12</v>
      </c>
      <c r="S92" s="96">
        <f t="shared" si="44"/>
        <v>4.5333333333333332</v>
      </c>
      <c r="T92" s="96">
        <f t="shared" si="45"/>
        <v>18</v>
      </c>
      <c r="U92" s="98">
        <f t="shared" si="46"/>
        <v>3.0222222222222221</v>
      </c>
      <c r="V92" s="97">
        <f t="shared" si="47"/>
        <v>2</v>
      </c>
      <c r="W92" s="96">
        <f t="shared" si="48"/>
        <v>0.4</v>
      </c>
      <c r="X92" s="98">
        <f t="shared" si="49"/>
        <v>0.6</v>
      </c>
      <c r="Y92" s="97">
        <f t="shared" si="55"/>
        <v>2.1818181818181821</v>
      </c>
      <c r="Z92" s="96">
        <f t="shared" si="56"/>
        <v>9.737373737373737</v>
      </c>
      <c r="AA92" s="96">
        <f t="shared" si="57"/>
        <v>3.0871542519559756</v>
      </c>
      <c r="AB92" s="96">
        <v>0</v>
      </c>
      <c r="AC92" s="96">
        <f t="shared" si="58"/>
        <v>9.5305213753698603E-2</v>
      </c>
      <c r="AD92" s="98">
        <f t="shared" si="59"/>
        <v>9.5305213753698603E-2</v>
      </c>
      <c r="AE92" s="97">
        <f t="shared" si="60"/>
        <v>5.480296296296296</v>
      </c>
      <c r="AF92" s="96">
        <f t="shared" si="61"/>
        <v>3.0871542519559756</v>
      </c>
      <c r="AG92" s="96">
        <f t="shared" si="50"/>
        <v>4.7652606876849302E-2</v>
      </c>
      <c r="AH92" s="96">
        <f t="shared" si="51"/>
        <v>2.586279757712354</v>
      </c>
      <c r="AI92" s="98">
        <f t="shared" si="62"/>
        <v>2.6339323645892034</v>
      </c>
      <c r="AJ92" s="97">
        <f t="shared" si="63"/>
        <v>4.5333333333333332</v>
      </c>
      <c r="AK92" s="96">
        <f t="shared" si="64"/>
        <v>6.7152682045070557</v>
      </c>
      <c r="AL92" s="96">
        <f t="shared" si="65"/>
        <v>0.29466666666666669</v>
      </c>
      <c r="AM92" s="96">
        <f t="shared" si="52"/>
        <v>4.8104000000000005</v>
      </c>
      <c r="AN92" s="98">
        <f t="shared" si="66"/>
        <v>5.1050666666666675</v>
      </c>
      <c r="AO92" s="97">
        <f t="shared" si="53"/>
        <v>3.8122085501479441E-2</v>
      </c>
      <c r="AP92" s="96">
        <f t="shared" si="54"/>
        <v>0.12150000000000002</v>
      </c>
      <c r="AQ92" s="98">
        <f t="shared" si="67"/>
        <v>8.0999999999999996E-3</v>
      </c>
      <c r="AR92" s="97">
        <f t="shared" si="68"/>
        <v>7.9067211167573497</v>
      </c>
      <c r="AS92" s="96">
        <f t="shared" si="69"/>
        <v>54.4</v>
      </c>
      <c r="AT92" s="98">
        <f t="shared" si="70"/>
        <v>87.310002877633636</v>
      </c>
    </row>
    <row r="93" spans="17:46" x14ac:dyDescent="0.3">
      <c r="Q93" s="32">
        <v>86</v>
      </c>
      <c r="R93" s="97">
        <f t="shared" si="43"/>
        <v>12</v>
      </c>
      <c r="S93" s="96">
        <f t="shared" si="44"/>
        <v>4.5866666666666669</v>
      </c>
      <c r="T93" s="96">
        <f t="shared" si="45"/>
        <v>18</v>
      </c>
      <c r="U93" s="98">
        <f t="shared" si="46"/>
        <v>3.0577777777777779</v>
      </c>
      <c r="V93" s="97">
        <f t="shared" si="47"/>
        <v>2</v>
      </c>
      <c r="W93" s="96">
        <f t="shared" si="48"/>
        <v>0.4</v>
      </c>
      <c r="X93" s="98">
        <f t="shared" si="49"/>
        <v>0.6</v>
      </c>
      <c r="Y93" s="97">
        <f t="shared" si="55"/>
        <v>2.1818181818181821</v>
      </c>
      <c r="Z93" s="96">
        <f t="shared" si="56"/>
        <v>9.8262626262626274</v>
      </c>
      <c r="AA93" s="96">
        <f t="shared" si="57"/>
        <v>3.1219703959435043</v>
      </c>
      <c r="AB93" s="96">
        <v>0</v>
      </c>
      <c r="AC93" s="96">
        <f t="shared" si="58"/>
        <v>9.7466991531476421E-2</v>
      </c>
      <c r="AD93" s="98">
        <f t="shared" si="59"/>
        <v>9.7466991531476421E-2</v>
      </c>
      <c r="AE93" s="97">
        <f t="shared" si="60"/>
        <v>5.6100029629629642</v>
      </c>
      <c r="AF93" s="96">
        <f t="shared" si="61"/>
        <v>3.1219703959435043</v>
      </c>
      <c r="AG93" s="96">
        <f t="shared" si="50"/>
        <v>4.8733495765738211E-2</v>
      </c>
      <c r="AH93" s="96">
        <f t="shared" si="51"/>
        <v>2.616706578391323</v>
      </c>
      <c r="AI93" s="98">
        <f t="shared" si="62"/>
        <v>2.6654400741570612</v>
      </c>
      <c r="AJ93" s="97">
        <f t="shared" si="63"/>
        <v>4.5866666666666669</v>
      </c>
      <c r="AK93" s="96">
        <f t="shared" si="64"/>
        <v>6.783941137826428</v>
      </c>
      <c r="AL93" s="96">
        <f t="shared" si="65"/>
        <v>0.29813333333333336</v>
      </c>
      <c r="AM93" s="96">
        <f t="shared" si="52"/>
        <v>4.8104000000000005</v>
      </c>
      <c r="AN93" s="98">
        <f t="shared" si="66"/>
        <v>5.1085333333333338</v>
      </c>
      <c r="AO93" s="97">
        <f t="shared" si="53"/>
        <v>3.8986796612590566E-2</v>
      </c>
      <c r="AP93" s="96">
        <f t="shared" si="54"/>
        <v>0.12150000000000002</v>
      </c>
      <c r="AQ93" s="98">
        <f t="shared" si="67"/>
        <v>8.0999999999999996E-3</v>
      </c>
      <c r="AR93" s="97">
        <f t="shared" si="68"/>
        <v>7.9425602041029855</v>
      </c>
      <c r="AS93" s="96">
        <f t="shared" si="69"/>
        <v>55.040000000000006</v>
      </c>
      <c r="AT93" s="98">
        <f t="shared" si="70"/>
        <v>87.389270651488104</v>
      </c>
    </row>
    <row r="94" spans="17:46" x14ac:dyDescent="0.3">
      <c r="Q94" s="32">
        <v>87</v>
      </c>
      <c r="R94" s="97">
        <f t="shared" si="43"/>
        <v>12</v>
      </c>
      <c r="S94" s="96">
        <f t="shared" si="44"/>
        <v>4.6400000000000006</v>
      </c>
      <c r="T94" s="96">
        <f t="shared" si="45"/>
        <v>18</v>
      </c>
      <c r="U94" s="98">
        <f t="shared" si="46"/>
        <v>3.0933333333333337</v>
      </c>
      <c r="V94" s="97">
        <f t="shared" si="47"/>
        <v>2</v>
      </c>
      <c r="W94" s="96">
        <f t="shared" si="48"/>
        <v>0.4</v>
      </c>
      <c r="X94" s="98">
        <f t="shared" si="49"/>
        <v>0.6</v>
      </c>
      <c r="Y94" s="97">
        <f t="shared" si="55"/>
        <v>2.1818181818181821</v>
      </c>
      <c r="Z94" s="96">
        <f t="shared" si="56"/>
        <v>9.9151515151515159</v>
      </c>
      <c r="AA94" s="96">
        <f t="shared" si="57"/>
        <v>3.1568030229944894</v>
      </c>
      <c r="AB94" s="96">
        <v>0</v>
      </c>
      <c r="AC94" s="96">
        <f t="shared" si="58"/>
        <v>9.9654053259871478E-2</v>
      </c>
      <c r="AD94" s="98">
        <f t="shared" si="59"/>
        <v>9.9654053259871478E-2</v>
      </c>
      <c r="AE94" s="97">
        <f t="shared" si="60"/>
        <v>5.7412266666666687</v>
      </c>
      <c r="AF94" s="96">
        <f t="shared" si="61"/>
        <v>3.1568030229944894</v>
      </c>
      <c r="AG94" s="96">
        <f t="shared" si="50"/>
        <v>4.9827026629935739E-2</v>
      </c>
      <c r="AH94" s="96">
        <f t="shared" si="51"/>
        <v>2.6471333990702921</v>
      </c>
      <c r="AI94" s="98">
        <f t="shared" si="62"/>
        <v>2.6969604257002278</v>
      </c>
      <c r="AJ94" s="97">
        <f t="shared" si="63"/>
        <v>4.6400000000000006</v>
      </c>
      <c r="AK94" s="96">
        <f t="shared" si="64"/>
        <v>6.8526176856735201</v>
      </c>
      <c r="AL94" s="96">
        <f t="shared" si="65"/>
        <v>0.30160000000000003</v>
      </c>
      <c r="AM94" s="96">
        <f t="shared" si="52"/>
        <v>4.8104000000000005</v>
      </c>
      <c r="AN94" s="98">
        <f t="shared" si="66"/>
        <v>5.1120000000000001</v>
      </c>
      <c r="AO94" s="97">
        <f t="shared" si="53"/>
        <v>3.9861621303948588E-2</v>
      </c>
      <c r="AP94" s="96">
        <f t="shared" si="54"/>
        <v>0.12150000000000002</v>
      </c>
      <c r="AQ94" s="98">
        <f t="shared" si="67"/>
        <v>8.0999999999999996E-3</v>
      </c>
      <c r="AR94" s="97">
        <f t="shared" si="68"/>
        <v>7.9784220470041767</v>
      </c>
      <c r="AS94" s="96">
        <f t="shared" si="69"/>
        <v>55.680000000000007</v>
      </c>
      <c r="AT94" s="98">
        <f t="shared" si="70"/>
        <v>87.466824042366213</v>
      </c>
    </row>
    <row r="95" spans="17:46" x14ac:dyDescent="0.3">
      <c r="Q95" s="32">
        <v>88</v>
      </c>
      <c r="R95" s="97">
        <f t="shared" si="43"/>
        <v>12</v>
      </c>
      <c r="S95" s="96">
        <f t="shared" si="44"/>
        <v>4.6933333333333334</v>
      </c>
      <c r="T95" s="96">
        <f t="shared" si="45"/>
        <v>18</v>
      </c>
      <c r="U95" s="98">
        <f t="shared" si="46"/>
        <v>3.1288888888888891</v>
      </c>
      <c r="V95" s="97">
        <f t="shared" si="47"/>
        <v>2</v>
      </c>
      <c r="W95" s="96">
        <f t="shared" si="48"/>
        <v>0.4</v>
      </c>
      <c r="X95" s="98">
        <f t="shared" si="49"/>
        <v>0.6</v>
      </c>
      <c r="Y95" s="97">
        <f t="shared" si="55"/>
        <v>2.1818181818181821</v>
      </c>
      <c r="Z95" s="96">
        <f t="shared" si="56"/>
        <v>10.004040404040405</v>
      </c>
      <c r="AA95" s="96">
        <f t="shared" si="57"/>
        <v>3.1916515934369118</v>
      </c>
      <c r="AB95" s="96">
        <v>0</v>
      </c>
      <c r="AC95" s="96">
        <f t="shared" si="58"/>
        <v>0.10186639893888379</v>
      </c>
      <c r="AD95" s="98">
        <f t="shared" si="59"/>
        <v>0.10186639893888379</v>
      </c>
      <c r="AE95" s="97">
        <f t="shared" si="60"/>
        <v>5.8739674074074077</v>
      </c>
      <c r="AF95" s="96">
        <f t="shared" si="61"/>
        <v>3.1916515934369118</v>
      </c>
      <c r="AG95" s="96">
        <f t="shared" si="50"/>
        <v>5.0933199469441894E-2</v>
      </c>
      <c r="AH95" s="96">
        <f t="shared" si="51"/>
        <v>2.6775602197492612</v>
      </c>
      <c r="AI95" s="98">
        <f t="shared" si="62"/>
        <v>2.7284934192187031</v>
      </c>
      <c r="AJ95" s="97">
        <f t="shared" si="63"/>
        <v>4.6933333333333334</v>
      </c>
      <c r="AK95" s="96">
        <f t="shared" si="64"/>
        <v>6.9212977404529248</v>
      </c>
      <c r="AL95" s="96">
        <f t="shared" si="65"/>
        <v>0.30506666666666665</v>
      </c>
      <c r="AM95" s="96">
        <f t="shared" si="52"/>
        <v>4.8104000000000005</v>
      </c>
      <c r="AN95" s="98">
        <f t="shared" si="66"/>
        <v>5.1154666666666673</v>
      </c>
      <c r="AO95" s="97">
        <f t="shared" si="53"/>
        <v>4.0746559575553516E-2</v>
      </c>
      <c r="AP95" s="96">
        <f t="shared" si="54"/>
        <v>0.12150000000000002</v>
      </c>
      <c r="AQ95" s="98">
        <f t="shared" si="67"/>
        <v>8.0999999999999996E-3</v>
      </c>
      <c r="AR95" s="97">
        <f t="shared" si="68"/>
        <v>8.0143066454609233</v>
      </c>
      <c r="AS95" s="96">
        <f t="shared" si="69"/>
        <v>56.32</v>
      </c>
      <c r="AT95" s="98">
        <f t="shared" si="70"/>
        <v>87.542716999148112</v>
      </c>
    </row>
    <row r="96" spans="17:46" x14ac:dyDescent="0.3">
      <c r="Q96" s="32">
        <v>89</v>
      </c>
      <c r="R96" s="97">
        <f t="shared" si="43"/>
        <v>12</v>
      </c>
      <c r="S96" s="96">
        <f t="shared" si="44"/>
        <v>4.746666666666667</v>
      </c>
      <c r="T96" s="96">
        <f t="shared" si="45"/>
        <v>18</v>
      </c>
      <c r="U96" s="98">
        <f t="shared" si="46"/>
        <v>3.1644444444444448</v>
      </c>
      <c r="V96" s="97">
        <f t="shared" si="47"/>
        <v>2</v>
      </c>
      <c r="W96" s="96">
        <f t="shared" si="48"/>
        <v>0.4</v>
      </c>
      <c r="X96" s="98">
        <f t="shared" si="49"/>
        <v>0.6</v>
      </c>
      <c r="Y96" s="97">
        <f t="shared" si="55"/>
        <v>2.1818181818181821</v>
      </c>
      <c r="Z96" s="96">
        <f t="shared" si="56"/>
        <v>10.092929292929293</v>
      </c>
      <c r="AA96" s="96">
        <f t="shared" si="57"/>
        <v>3.2265155906722884</v>
      </c>
      <c r="AB96" s="96">
        <v>0</v>
      </c>
      <c r="AC96" s="96">
        <f t="shared" si="58"/>
        <v>0.10410402856851347</v>
      </c>
      <c r="AD96" s="98">
        <f t="shared" si="59"/>
        <v>0.10410402856851347</v>
      </c>
      <c r="AE96" s="97">
        <f t="shared" si="60"/>
        <v>6.0082251851851867</v>
      </c>
      <c r="AF96" s="96">
        <f t="shared" si="61"/>
        <v>3.2265155906722884</v>
      </c>
      <c r="AG96" s="96">
        <f t="shared" si="50"/>
        <v>5.2052014284256737E-2</v>
      </c>
      <c r="AH96" s="96">
        <f t="shared" si="51"/>
        <v>2.7079870404282298</v>
      </c>
      <c r="AI96" s="98">
        <f t="shared" si="62"/>
        <v>2.7600390547124865</v>
      </c>
      <c r="AJ96" s="97">
        <f t="shared" si="63"/>
        <v>4.746666666666667</v>
      </c>
      <c r="AK96" s="96">
        <f t="shared" si="64"/>
        <v>6.9899811987925631</v>
      </c>
      <c r="AL96" s="96">
        <f t="shared" si="65"/>
        <v>0.30853333333333338</v>
      </c>
      <c r="AM96" s="96">
        <f t="shared" si="52"/>
        <v>4.8104000000000005</v>
      </c>
      <c r="AN96" s="98">
        <f t="shared" si="66"/>
        <v>5.1189333333333336</v>
      </c>
      <c r="AO96" s="97">
        <f t="shared" si="53"/>
        <v>4.1641611427405391E-2</v>
      </c>
      <c r="AP96" s="96">
        <f t="shared" si="54"/>
        <v>0.12150000000000002</v>
      </c>
      <c r="AQ96" s="98">
        <f t="shared" si="67"/>
        <v>8.0999999999999996E-3</v>
      </c>
      <c r="AR96" s="97">
        <f t="shared" si="68"/>
        <v>8.0502139994732254</v>
      </c>
      <c r="AS96" s="96">
        <f t="shared" si="69"/>
        <v>56.960000000000008</v>
      </c>
      <c r="AT96" s="98">
        <f t="shared" si="70"/>
        <v>87.617001230701291</v>
      </c>
    </row>
    <row r="97" spans="17:46" x14ac:dyDescent="0.3">
      <c r="Q97" s="32">
        <v>90</v>
      </c>
      <c r="R97" s="97">
        <f t="shared" si="43"/>
        <v>12</v>
      </c>
      <c r="S97" s="96">
        <f t="shared" si="44"/>
        <v>4.8000000000000007</v>
      </c>
      <c r="T97" s="96">
        <f t="shared" si="45"/>
        <v>18</v>
      </c>
      <c r="U97" s="98">
        <f t="shared" si="46"/>
        <v>3.2000000000000006</v>
      </c>
      <c r="V97" s="97">
        <f t="shared" si="47"/>
        <v>2</v>
      </c>
      <c r="W97" s="96">
        <f t="shared" si="48"/>
        <v>0.4</v>
      </c>
      <c r="X97" s="98">
        <f t="shared" si="49"/>
        <v>0.6</v>
      </c>
      <c r="Y97" s="97">
        <f t="shared" si="55"/>
        <v>2.1818181818181821</v>
      </c>
      <c r="Z97" s="96">
        <f t="shared" si="56"/>
        <v>10.181818181818183</v>
      </c>
      <c r="AA97" s="96">
        <f t="shared" si="57"/>
        <v>3.2613945199678063</v>
      </c>
      <c r="AB97" s="96">
        <v>0</v>
      </c>
      <c r="AC97" s="96">
        <f t="shared" si="58"/>
        <v>0.10636694214876037</v>
      </c>
      <c r="AD97" s="98">
        <f t="shared" si="59"/>
        <v>0.10636694214876037</v>
      </c>
      <c r="AE97" s="97">
        <f t="shared" si="60"/>
        <v>6.1440000000000019</v>
      </c>
      <c r="AF97" s="96">
        <f t="shared" si="61"/>
        <v>3.2613945199678063</v>
      </c>
      <c r="AG97" s="96">
        <f t="shared" si="50"/>
        <v>5.3183471074380186E-2</v>
      </c>
      <c r="AH97" s="96">
        <f t="shared" si="51"/>
        <v>2.7384138611071993</v>
      </c>
      <c r="AI97" s="98">
        <f t="shared" si="62"/>
        <v>2.7915973321815795</v>
      </c>
      <c r="AJ97" s="97">
        <f t="shared" si="63"/>
        <v>4.8000000000000007</v>
      </c>
      <c r="AK97" s="96">
        <f t="shared" si="64"/>
        <v>7.0586679613387231</v>
      </c>
      <c r="AL97" s="96">
        <f t="shared" si="65"/>
        <v>0.31200000000000006</v>
      </c>
      <c r="AM97" s="96">
        <f t="shared" si="52"/>
        <v>4.8104000000000005</v>
      </c>
      <c r="AN97" s="98">
        <f t="shared" si="66"/>
        <v>5.1224000000000007</v>
      </c>
      <c r="AO97" s="97">
        <f t="shared" si="53"/>
        <v>4.254677685950415E-2</v>
      </c>
      <c r="AP97" s="96">
        <f t="shared" si="54"/>
        <v>0.12150000000000002</v>
      </c>
      <c r="AQ97" s="98">
        <f t="shared" si="67"/>
        <v>8.0999999999999996E-3</v>
      </c>
      <c r="AR97" s="97">
        <f t="shared" si="68"/>
        <v>8.0861441090410846</v>
      </c>
      <c r="AS97" s="96">
        <f t="shared" si="69"/>
        <v>57.600000000000009</v>
      </c>
      <c r="AT97" s="98">
        <f t="shared" si="70"/>
        <v>87.68972632094551</v>
      </c>
    </row>
    <row r="98" spans="17:46" x14ac:dyDescent="0.3">
      <c r="Q98" s="32">
        <v>91</v>
      </c>
      <c r="R98" s="97">
        <f t="shared" si="43"/>
        <v>12</v>
      </c>
      <c r="S98" s="96">
        <f t="shared" si="44"/>
        <v>4.8533333333333335</v>
      </c>
      <c r="T98" s="96">
        <f t="shared" si="45"/>
        <v>18</v>
      </c>
      <c r="U98" s="98">
        <f t="shared" si="46"/>
        <v>3.2355555555555555</v>
      </c>
      <c r="V98" s="97">
        <f t="shared" si="47"/>
        <v>2</v>
      </c>
      <c r="W98" s="96">
        <f t="shared" si="48"/>
        <v>0.4</v>
      </c>
      <c r="X98" s="98">
        <f t="shared" si="49"/>
        <v>0.6</v>
      </c>
      <c r="Y98" s="97">
        <f t="shared" si="55"/>
        <v>2.1818181818181821</v>
      </c>
      <c r="Z98" s="96">
        <f t="shared" si="56"/>
        <v>10.27070707070707</v>
      </c>
      <c r="AA98" s="96">
        <f t="shared" si="57"/>
        <v>3.2962879073227893</v>
      </c>
      <c r="AB98" s="96">
        <v>0</v>
      </c>
      <c r="AC98" s="96">
        <f t="shared" si="58"/>
        <v>0.10865513967962454</v>
      </c>
      <c r="AD98" s="98">
        <f t="shared" si="59"/>
        <v>0.10865513967962454</v>
      </c>
      <c r="AE98" s="97">
        <f t="shared" si="60"/>
        <v>6.2812918518518526</v>
      </c>
      <c r="AF98" s="96">
        <f t="shared" si="61"/>
        <v>3.2962879073227893</v>
      </c>
      <c r="AG98" s="96">
        <f t="shared" si="50"/>
        <v>5.4327569839812268E-2</v>
      </c>
      <c r="AH98" s="96">
        <f t="shared" si="51"/>
        <v>2.7688406817861675</v>
      </c>
      <c r="AI98" s="98">
        <f t="shared" si="62"/>
        <v>2.82316825162598</v>
      </c>
      <c r="AJ98" s="97">
        <f t="shared" si="63"/>
        <v>4.8533333333333335</v>
      </c>
      <c r="AK98" s="96">
        <f t="shared" si="64"/>
        <v>7.1273579325629104</v>
      </c>
      <c r="AL98" s="96">
        <f t="shared" si="65"/>
        <v>0.31546666666666667</v>
      </c>
      <c r="AM98" s="96">
        <f t="shared" si="52"/>
        <v>4.8104000000000005</v>
      </c>
      <c r="AN98" s="98">
        <f t="shared" si="66"/>
        <v>5.125866666666667</v>
      </c>
      <c r="AO98" s="97">
        <f t="shared" si="53"/>
        <v>4.3462055871849814E-2</v>
      </c>
      <c r="AP98" s="96">
        <f t="shared" si="54"/>
        <v>0.12150000000000002</v>
      </c>
      <c r="AQ98" s="98">
        <f t="shared" si="67"/>
        <v>8.0999999999999996E-3</v>
      </c>
      <c r="AR98" s="97">
        <f t="shared" si="68"/>
        <v>8.1220969741644975</v>
      </c>
      <c r="AS98" s="96">
        <f t="shared" si="69"/>
        <v>58.24</v>
      </c>
      <c r="AT98" s="98">
        <f t="shared" si="70"/>
        <v>87.760939836897379</v>
      </c>
    </row>
    <row r="99" spans="17:46" x14ac:dyDescent="0.3">
      <c r="Q99" s="32">
        <v>92</v>
      </c>
      <c r="R99" s="97">
        <f t="shared" si="43"/>
        <v>12</v>
      </c>
      <c r="S99" s="96">
        <f t="shared" si="44"/>
        <v>4.9066666666666672</v>
      </c>
      <c r="T99" s="96">
        <f t="shared" si="45"/>
        <v>18</v>
      </c>
      <c r="U99" s="98">
        <f t="shared" si="46"/>
        <v>3.2711111111111117</v>
      </c>
      <c r="V99" s="97">
        <f t="shared" si="47"/>
        <v>2</v>
      </c>
      <c r="W99" s="96">
        <f t="shared" si="48"/>
        <v>0.4</v>
      </c>
      <c r="X99" s="98">
        <f t="shared" si="49"/>
        <v>0.6</v>
      </c>
      <c r="Y99" s="97">
        <f t="shared" si="55"/>
        <v>2.1818181818181821</v>
      </c>
      <c r="Z99" s="96">
        <f t="shared" si="56"/>
        <v>10.359595959595961</v>
      </c>
      <c r="AA99" s="96">
        <f t="shared" si="57"/>
        <v>3.3311952984042539</v>
      </c>
      <c r="AB99" s="96">
        <v>0</v>
      </c>
      <c r="AC99" s="96">
        <f t="shared" si="58"/>
        <v>0.11096862116110606</v>
      </c>
      <c r="AD99" s="98">
        <f t="shared" si="59"/>
        <v>0.11096862116110606</v>
      </c>
      <c r="AE99" s="97">
        <f t="shared" si="60"/>
        <v>6.4201007407407431</v>
      </c>
      <c r="AF99" s="96">
        <f t="shared" si="61"/>
        <v>3.3311952984042539</v>
      </c>
      <c r="AG99" s="96">
        <f t="shared" si="50"/>
        <v>5.5484310580553031E-2</v>
      </c>
      <c r="AH99" s="96">
        <f t="shared" si="51"/>
        <v>2.7992675024651366</v>
      </c>
      <c r="AI99" s="98">
        <f t="shared" si="62"/>
        <v>2.8547518130456897</v>
      </c>
      <c r="AJ99" s="97">
        <f t="shared" si="63"/>
        <v>4.9066666666666672</v>
      </c>
      <c r="AK99" s="96">
        <f t="shared" si="64"/>
        <v>7.1960510205797359</v>
      </c>
      <c r="AL99" s="96">
        <f t="shared" si="65"/>
        <v>0.3189333333333334</v>
      </c>
      <c r="AM99" s="96">
        <f t="shared" si="52"/>
        <v>4.8104000000000005</v>
      </c>
      <c r="AN99" s="98">
        <f t="shared" si="66"/>
        <v>5.1293333333333342</v>
      </c>
      <c r="AO99" s="97">
        <f t="shared" si="53"/>
        <v>4.4387448464442425E-2</v>
      </c>
      <c r="AP99" s="96">
        <f t="shared" si="54"/>
        <v>0.12150000000000002</v>
      </c>
      <c r="AQ99" s="98">
        <f t="shared" si="67"/>
        <v>8.0999999999999996E-3</v>
      </c>
      <c r="AR99" s="97">
        <f t="shared" si="68"/>
        <v>8.1580725948434658</v>
      </c>
      <c r="AS99" s="96">
        <f t="shared" si="69"/>
        <v>58.88000000000001</v>
      </c>
      <c r="AT99" s="98">
        <f t="shared" si="70"/>
        <v>87.830687430188775</v>
      </c>
    </row>
    <row r="100" spans="17:46" x14ac:dyDescent="0.3">
      <c r="Q100" s="32">
        <v>93</v>
      </c>
      <c r="R100" s="97">
        <f t="shared" si="43"/>
        <v>12</v>
      </c>
      <c r="S100" s="96">
        <f t="shared" si="44"/>
        <v>4.96</v>
      </c>
      <c r="T100" s="96">
        <f t="shared" si="45"/>
        <v>18</v>
      </c>
      <c r="U100" s="98">
        <f t="shared" si="46"/>
        <v>3.3066666666666666</v>
      </c>
      <c r="V100" s="97">
        <f t="shared" si="47"/>
        <v>2</v>
      </c>
      <c r="W100" s="96">
        <f t="shared" si="48"/>
        <v>0.4</v>
      </c>
      <c r="X100" s="98">
        <f t="shared" si="49"/>
        <v>0.6</v>
      </c>
      <c r="Y100" s="97">
        <f t="shared" si="55"/>
        <v>2.1818181818181821</v>
      </c>
      <c r="Z100" s="96">
        <f t="shared" si="56"/>
        <v>10.448484848484847</v>
      </c>
      <c r="AA100" s="96">
        <f t="shared" si="57"/>
        <v>3.3661162575467412</v>
      </c>
      <c r="AB100" s="96">
        <v>0</v>
      </c>
      <c r="AC100" s="96">
        <f t="shared" si="58"/>
        <v>0.1133073865932048</v>
      </c>
      <c r="AD100" s="98">
        <f t="shared" si="59"/>
        <v>0.1133073865932048</v>
      </c>
      <c r="AE100" s="97">
        <f t="shared" si="60"/>
        <v>6.5604266666666664</v>
      </c>
      <c r="AF100" s="96">
        <f t="shared" si="61"/>
        <v>3.3661162575467412</v>
      </c>
      <c r="AG100" s="96">
        <f t="shared" si="50"/>
        <v>5.66536932966024E-2</v>
      </c>
      <c r="AH100" s="96">
        <f t="shared" si="51"/>
        <v>2.8296943231441047</v>
      </c>
      <c r="AI100" s="98">
        <f t="shared" si="62"/>
        <v>2.8863480164407069</v>
      </c>
      <c r="AJ100" s="97">
        <f t="shared" si="63"/>
        <v>4.96</v>
      </c>
      <c r="AK100" s="96">
        <f t="shared" si="64"/>
        <v>7.2647471369750587</v>
      </c>
      <c r="AL100" s="96">
        <f t="shared" si="65"/>
        <v>0.32240000000000002</v>
      </c>
      <c r="AM100" s="96">
        <f t="shared" si="52"/>
        <v>4.8104000000000005</v>
      </c>
      <c r="AN100" s="98">
        <f t="shared" si="66"/>
        <v>5.1328000000000005</v>
      </c>
      <c r="AO100" s="97">
        <f t="shared" si="53"/>
        <v>4.532295463728192E-2</v>
      </c>
      <c r="AP100" s="96">
        <f t="shared" si="54"/>
        <v>0.12150000000000002</v>
      </c>
      <c r="AQ100" s="98">
        <f t="shared" si="67"/>
        <v>8.0999999999999996E-3</v>
      </c>
      <c r="AR100" s="97">
        <f t="shared" si="68"/>
        <v>8.1940709710779895</v>
      </c>
      <c r="AS100" s="96">
        <f t="shared" si="69"/>
        <v>59.519999999999996</v>
      </c>
      <c r="AT100" s="98">
        <f t="shared" si="70"/>
        <v>87.899012932514665</v>
      </c>
    </row>
    <row r="101" spans="17:46" x14ac:dyDescent="0.3">
      <c r="Q101" s="32">
        <v>94</v>
      </c>
      <c r="R101" s="97">
        <f t="shared" si="43"/>
        <v>12</v>
      </c>
      <c r="S101" s="96">
        <f t="shared" si="44"/>
        <v>5.0133333333333336</v>
      </c>
      <c r="T101" s="96">
        <f t="shared" si="45"/>
        <v>18</v>
      </c>
      <c r="U101" s="98">
        <f t="shared" si="46"/>
        <v>3.3422222222222224</v>
      </c>
      <c r="V101" s="97">
        <f t="shared" si="47"/>
        <v>2</v>
      </c>
      <c r="W101" s="96">
        <f t="shared" si="48"/>
        <v>0.4</v>
      </c>
      <c r="X101" s="98">
        <f t="shared" si="49"/>
        <v>0.6</v>
      </c>
      <c r="Y101" s="97">
        <f t="shared" si="55"/>
        <v>2.1818181818181821</v>
      </c>
      <c r="Z101" s="96">
        <f t="shared" si="56"/>
        <v>10.537373737373738</v>
      </c>
      <c r="AA101" s="96">
        <f t="shared" si="57"/>
        <v>3.4010503668120067</v>
      </c>
      <c r="AB101" s="96">
        <v>0</v>
      </c>
      <c r="AC101" s="96">
        <f t="shared" si="58"/>
        <v>0.11567143597592086</v>
      </c>
      <c r="AD101" s="98">
        <f t="shared" si="59"/>
        <v>0.11567143597592086</v>
      </c>
      <c r="AE101" s="97">
        <f t="shared" si="60"/>
        <v>6.7022696296296305</v>
      </c>
      <c r="AF101" s="96">
        <f t="shared" si="61"/>
        <v>3.4010503668120067</v>
      </c>
      <c r="AG101" s="96">
        <f t="shared" si="50"/>
        <v>5.7835717987960431E-2</v>
      </c>
      <c r="AH101" s="96">
        <f t="shared" si="51"/>
        <v>2.8601211438230743</v>
      </c>
      <c r="AI101" s="98">
        <f t="shared" si="62"/>
        <v>2.9179568618110348</v>
      </c>
      <c r="AJ101" s="97">
        <f t="shared" si="63"/>
        <v>5.0133333333333336</v>
      </c>
      <c r="AK101" s="96">
        <f t="shared" si="64"/>
        <v>7.3334461966438047</v>
      </c>
      <c r="AL101" s="96">
        <f t="shared" si="65"/>
        <v>0.32586666666666669</v>
      </c>
      <c r="AM101" s="96">
        <f t="shared" si="52"/>
        <v>4.8104000000000005</v>
      </c>
      <c r="AN101" s="98">
        <f t="shared" si="66"/>
        <v>5.1362666666666668</v>
      </c>
      <c r="AO101" s="97">
        <f t="shared" si="53"/>
        <v>4.6268574390368342E-2</v>
      </c>
      <c r="AP101" s="96">
        <f t="shared" si="54"/>
        <v>0.12150000000000002</v>
      </c>
      <c r="AQ101" s="98">
        <f t="shared" si="67"/>
        <v>8.0999999999999996E-3</v>
      </c>
      <c r="AR101" s="97">
        <f t="shared" si="68"/>
        <v>8.2300921028680705</v>
      </c>
      <c r="AS101" s="96">
        <f t="shared" si="69"/>
        <v>60.160000000000004</v>
      </c>
      <c r="AT101" s="98">
        <f t="shared" si="70"/>
        <v>87.965958445429663</v>
      </c>
    </row>
    <row r="102" spans="17:46" x14ac:dyDescent="0.3">
      <c r="Q102" s="32">
        <v>95</v>
      </c>
      <c r="R102" s="97">
        <f t="shared" si="43"/>
        <v>12</v>
      </c>
      <c r="S102" s="96">
        <f t="shared" si="44"/>
        <v>5.0666666666666673</v>
      </c>
      <c r="T102" s="96">
        <f t="shared" si="45"/>
        <v>18</v>
      </c>
      <c r="U102" s="98">
        <f t="shared" si="46"/>
        <v>3.3777777777777782</v>
      </c>
      <c r="V102" s="97">
        <f t="shared" si="47"/>
        <v>2</v>
      </c>
      <c r="W102" s="96">
        <f t="shared" si="48"/>
        <v>0.4</v>
      </c>
      <c r="X102" s="98">
        <f t="shared" si="49"/>
        <v>0.6</v>
      </c>
      <c r="Y102" s="97">
        <f t="shared" si="55"/>
        <v>2.1818181818181821</v>
      </c>
      <c r="Z102" s="96">
        <f t="shared" si="56"/>
        <v>10.626262626262628</v>
      </c>
      <c r="AA102" s="96">
        <f t="shared" si="57"/>
        <v>3.4359972251044413</v>
      </c>
      <c r="AB102" s="96">
        <v>0</v>
      </c>
      <c r="AC102" s="96">
        <f t="shared" si="58"/>
        <v>0.11806076930925422</v>
      </c>
      <c r="AD102" s="98">
        <f t="shared" si="59"/>
        <v>0.11806076930925422</v>
      </c>
      <c r="AE102" s="97">
        <f t="shared" si="60"/>
        <v>6.8456296296296317</v>
      </c>
      <c r="AF102" s="96">
        <f t="shared" si="61"/>
        <v>3.4359972251044413</v>
      </c>
      <c r="AG102" s="96">
        <f t="shared" si="50"/>
        <v>5.9030384654627108E-2</v>
      </c>
      <c r="AH102" s="96">
        <f t="shared" si="51"/>
        <v>2.8905479645020438</v>
      </c>
      <c r="AI102" s="98">
        <f t="shared" si="62"/>
        <v>2.9495783491566709</v>
      </c>
      <c r="AJ102" s="97">
        <f t="shared" si="63"/>
        <v>5.0666666666666673</v>
      </c>
      <c r="AK102" s="96">
        <f t="shared" si="64"/>
        <v>7.4021481176367399</v>
      </c>
      <c r="AL102" s="96">
        <f t="shared" si="65"/>
        <v>0.32933333333333337</v>
      </c>
      <c r="AM102" s="96">
        <f t="shared" si="52"/>
        <v>4.8104000000000005</v>
      </c>
      <c r="AN102" s="98">
        <f t="shared" si="66"/>
        <v>5.1397333333333339</v>
      </c>
      <c r="AO102" s="97">
        <f t="shared" si="53"/>
        <v>4.7224307723701689E-2</v>
      </c>
      <c r="AP102" s="96">
        <f t="shared" si="54"/>
        <v>0.12150000000000002</v>
      </c>
      <c r="AQ102" s="98">
        <f t="shared" si="67"/>
        <v>8.0999999999999996E-3</v>
      </c>
      <c r="AR102" s="97">
        <f t="shared" si="68"/>
        <v>8.2661359902137068</v>
      </c>
      <c r="AS102" s="96">
        <f t="shared" si="69"/>
        <v>60.800000000000011</v>
      </c>
      <c r="AT102" s="98">
        <f t="shared" si="70"/>
        <v>88.03156442487969</v>
      </c>
    </row>
    <row r="103" spans="17:46" x14ac:dyDescent="0.3">
      <c r="Q103" s="32">
        <v>96</v>
      </c>
      <c r="R103" s="97">
        <f t="shared" si="43"/>
        <v>12</v>
      </c>
      <c r="S103" s="96">
        <f t="shared" ref="S103:S134" si="71">Q103*$O$12</f>
        <v>5.12</v>
      </c>
      <c r="T103" s="96">
        <f t="shared" si="45"/>
        <v>18</v>
      </c>
      <c r="U103" s="98">
        <f t="shared" ref="U103:U134" si="72">(R103*S103)/(T103*EFF_est)</f>
        <v>3.4133333333333331</v>
      </c>
      <c r="V103" s="97">
        <f t="shared" ref="V103:V134" si="73">IF(S103&lt;((T103^2)*R103)/(2*Fsw*Lm*((T103+R103)^2)),1,2)</f>
        <v>2</v>
      </c>
      <c r="W103" s="96">
        <f t="shared" ref="W103:W134" si="74">CHOOSE(V103,SQRT(2*Lm*R103*S103*Fsw)/T103,R103/(T103+R103))</f>
        <v>0.4</v>
      </c>
      <c r="X103" s="98">
        <f t="shared" ref="X103:X134" si="75">CHOOSE(V103,(Lm*Z103*Fsw)/(R103),1-W103)</f>
        <v>0.6</v>
      </c>
      <c r="Y103" s="97">
        <f t="shared" si="55"/>
        <v>2.1818181818181821</v>
      </c>
      <c r="Z103" s="96">
        <f t="shared" si="56"/>
        <v>10.715151515151515</v>
      </c>
      <c r="AA103" s="96">
        <f t="shared" si="57"/>
        <v>3.4709564473384678</v>
      </c>
      <c r="AB103" s="96">
        <v>0</v>
      </c>
      <c r="AC103" s="96">
        <f t="shared" si="58"/>
        <v>0.12047538659320477</v>
      </c>
      <c r="AD103" s="98">
        <f t="shared" si="59"/>
        <v>0.12047538659320477</v>
      </c>
      <c r="AE103" s="97">
        <f t="shared" si="60"/>
        <v>6.9905066666666675</v>
      </c>
      <c r="AF103" s="96">
        <f t="shared" si="61"/>
        <v>3.4709564473384678</v>
      </c>
      <c r="AG103" s="96">
        <f t="shared" ref="AG103:AG134" si="76">(AF103^2)*RDS_on</f>
        <v>6.0237693296602383E-2</v>
      </c>
      <c r="AH103" s="96">
        <f t="shared" ref="AH103:AH134" si="77">(((R103+T103)*(U103+S103))/2)*Fsw*(tr_sw+tf_sw)</f>
        <v>2.9209747851810119</v>
      </c>
      <c r="AI103" s="98">
        <f t="shared" si="62"/>
        <v>2.9812124784776142</v>
      </c>
      <c r="AJ103" s="97">
        <f t="shared" si="63"/>
        <v>5.12</v>
      </c>
      <c r="AK103" s="96">
        <f t="shared" si="64"/>
        <v>7.4708528210156988</v>
      </c>
      <c r="AL103" s="96">
        <f t="shared" si="65"/>
        <v>0.33280000000000004</v>
      </c>
      <c r="AM103" s="96">
        <f t="shared" ref="AM103:AM134" si="78">(R103+T103+Vd_rect)*Qrr*Fsw</f>
        <v>4.8104000000000005</v>
      </c>
      <c r="AN103" s="98">
        <f t="shared" si="66"/>
        <v>5.1432000000000002</v>
      </c>
      <c r="AO103" s="97">
        <f t="shared" ref="AO103:AO134" si="79">(AF103^2)*R_cs</f>
        <v>4.8190154637281907E-2</v>
      </c>
      <c r="AP103" s="96">
        <f t="shared" si="54"/>
        <v>0.12150000000000002</v>
      </c>
      <c r="AQ103" s="98">
        <f t="shared" si="67"/>
        <v>8.0999999999999996E-3</v>
      </c>
      <c r="AR103" s="97">
        <f t="shared" si="68"/>
        <v>8.302202633114895</v>
      </c>
      <c r="AS103" s="96">
        <f t="shared" si="69"/>
        <v>61.44</v>
      </c>
      <c r="AT103" s="98">
        <f t="shared" si="70"/>
        <v>88.095869760825636</v>
      </c>
    </row>
    <row r="104" spans="17:46" x14ac:dyDescent="0.3">
      <c r="Q104" s="32">
        <v>97</v>
      </c>
      <c r="R104" s="97">
        <f t="shared" si="43"/>
        <v>12</v>
      </c>
      <c r="S104" s="96">
        <f t="shared" si="71"/>
        <v>5.1733333333333338</v>
      </c>
      <c r="T104" s="96">
        <f t="shared" si="45"/>
        <v>18</v>
      </c>
      <c r="U104" s="98">
        <f t="shared" si="72"/>
        <v>3.4488888888888893</v>
      </c>
      <c r="V104" s="97">
        <f t="shared" si="73"/>
        <v>2</v>
      </c>
      <c r="W104" s="96">
        <f t="shared" si="74"/>
        <v>0.4</v>
      </c>
      <c r="X104" s="98">
        <f t="shared" si="75"/>
        <v>0.6</v>
      </c>
      <c r="Y104" s="97">
        <f t="shared" si="55"/>
        <v>2.1818181818181821</v>
      </c>
      <c r="Z104" s="96">
        <f t="shared" si="56"/>
        <v>10.804040404040405</v>
      </c>
      <c r="AA104" s="96">
        <f t="shared" si="57"/>
        <v>3.5059276636544103</v>
      </c>
      <c r="AB104" s="96">
        <v>0</v>
      </c>
      <c r="AC104" s="96">
        <f t="shared" si="58"/>
        <v>0.12291528782777272</v>
      </c>
      <c r="AD104" s="98">
        <f t="shared" si="59"/>
        <v>0.12291528782777272</v>
      </c>
      <c r="AE104" s="97">
        <f t="shared" si="60"/>
        <v>7.1369007407407423</v>
      </c>
      <c r="AF104" s="96">
        <f t="shared" si="61"/>
        <v>3.5059276636544103</v>
      </c>
      <c r="AG104" s="96">
        <f t="shared" si="76"/>
        <v>6.1457643913886362E-2</v>
      </c>
      <c r="AH104" s="96">
        <f t="shared" si="77"/>
        <v>2.951401605859981</v>
      </c>
      <c r="AI104" s="98">
        <f t="shared" si="62"/>
        <v>3.0128592497738675</v>
      </c>
      <c r="AJ104" s="97">
        <f t="shared" si="63"/>
        <v>5.1733333333333338</v>
      </c>
      <c r="AK104" s="96">
        <f t="shared" si="64"/>
        <v>7.5395602307166989</v>
      </c>
      <c r="AL104" s="96">
        <f t="shared" si="65"/>
        <v>0.33626666666666671</v>
      </c>
      <c r="AM104" s="96">
        <f t="shared" si="78"/>
        <v>4.8104000000000005</v>
      </c>
      <c r="AN104" s="98">
        <f t="shared" si="66"/>
        <v>5.1466666666666674</v>
      </c>
      <c r="AO104" s="97">
        <f t="shared" si="79"/>
        <v>4.9166115131109085E-2</v>
      </c>
      <c r="AP104" s="96">
        <f t="shared" si="54"/>
        <v>0.12150000000000002</v>
      </c>
      <c r="AQ104" s="98">
        <f t="shared" si="67"/>
        <v>8.0999999999999996E-3</v>
      </c>
      <c r="AR104" s="97">
        <f t="shared" si="68"/>
        <v>8.338292031571644</v>
      </c>
      <c r="AS104" s="96">
        <f t="shared" si="69"/>
        <v>62.080000000000005</v>
      </c>
      <c r="AT104" s="98">
        <f t="shared" si="70"/>
        <v>88.158911852288014</v>
      </c>
    </row>
    <row r="105" spans="17:46" x14ac:dyDescent="0.3">
      <c r="Q105" s="32">
        <v>98</v>
      </c>
      <c r="R105" s="97">
        <f t="shared" si="43"/>
        <v>12</v>
      </c>
      <c r="S105" s="96">
        <f t="shared" si="71"/>
        <v>5.2266666666666666</v>
      </c>
      <c r="T105" s="96">
        <f t="shared" si="45"/>
        <v>18</v>
      </c>
      <c r="U105" s="98">
        <f t="shared" si="72"/>
        <v>3.4844444444444442</v>
      </c>
      <c r="V105" s="97">
        <f t="shared" si="73"/>
        <v>2</v>
      </c>
      <c r="W105" s="96">
        <f t="shared" si="74"/>
        <v>0.4</v>
      </c>
      <c r="X105" s="98">
        <f t="shared" si="75"/>
        <v>0.6</v>
      </c>
      <c r="Y105" s="97">
        <f t="shared" si="55"/>
        <v>2.1818181818181821</v>
      </c>
      <c r="Z105" s="96">
        <f t="shared" si="56"/>
        <v>10.892929292929292</v>
      </c>
      <c r="AA105" s="96">
        <f t="shared" si="57"/>
        <v>3.5409105186795933</v>
      </c>
      <c r="AB105" s="96">
        <v>0</v>
      </c>
      <c r="AC105" s="96">
        <f t="shared" si="58"/>
        <v>0.12538047301295788</v>
      </c>
      <c r="AD105" s="98">
        <f t="shared" si="59"/>
        <v>0.12538047301295788</v>
      </c>
      <c r="AE105" s="97">
        <f t="shared" si="60"/>
        <v>7.2848118518518525</v>
      </c>
      <c r="AF105" s="96">
        <f t="shared" si="61"/>
        <v>3.5409105186795933</v>
      </c>
      <c r="AG105" s="96">
        <f t="shared" si="76"/>
        <v>6.2690236506478939E-2</v>
      </c>
      <c r="AH105" s="96">
        <f t="shared" si="77"/>
        <v>2.9818284265389492</v>
      </c>
      <c r="AI105" s="98">
        <f t="shared" si="62"/>
        <v>3.044518663045428</v>
      </c>
      <c r="AJ105" s="97">
        <f t="shared" si="63"/>
        <v>5.2266666666666666</v>
      </c>
      <c r="AK105" s="96">
        <f t="shared" si="64"/>
        <v>7.6082702734204251</v>
      </c>
      <c r="AL105" s="96">
        <f t="shared" si="65"/>
        <v>0.33973333333333333</v>
      </c>
      <c r="AM105" s="96">
        <f t="shared" si="78"/>
        <v>4.8104000000000005</v>
      </c>
      <c r="AN105" s="98">
        <f t="shared" si="66"/>
        <v>5.1501333333333337</v>
      </c>
      <c r="AO105" s="97">
        <f t="shared" si="79"/>
        <v>5.0152189205183148E-2</v>
      </c>
      <c r="AP105" s="96">
        <f t="shared" si="54"/>
        <v>0.12150000000000002</v>
      </c>
      <c r="AQ105" s="98">
        <f t="shared" si="67"/>
        <v>8.0999999999999996E-3</v>
      </c>
      <c r="AR105" s="97">
        <f t="shared" si="68"/>
        <v>8.3744041855839448</v>
      </c>
      <c r="AS105" s="96">
        <f t="shared" si="69"/>
        <v>62.72</v>
      </c>
      <c r="AT105" s="98">
        <f t="shared" si="70"/>
        <v>88.220726678117316</v>
      </c>
    </row>
    <row r="106" spans="17:46" x14ac:dyDescent="0.3">
      <c r="Q106" s="32">
        <v>99</v>
      </c>
      <c r="R106" s="97">
        <f t="shared" si="43"/>
        <v>12</v>
      </c>
      <c r="S106" s="96">
        <f t="shared" si="71"/>
        <v>5.28</v>
      </c>
      <c r="T106" s="96">
        <f t="shared" si="45"/>
        <v>18</v>
      </c>
      <c r="U106" s="98">
        <f t="shared" si="72"/>
        <v>3.52</v>
      </c>
      <c r="V106" s="97">
        <f t="shared" si="73"/>
        <v>2</v>
      </c>
      <c r="W106" s="96">
        <f t="shared" si="74"/>
        <v>0.4</v>
      </c>
      <c r="X106" s="98">
        <f t="shared" si="75"/>
        <v>0.6</v>
      </c>
      <c r="Y106" s="97">
        <f t="shared" si="55"/>
        <v>2.1818181818181821</v>
      </c>
      <c r="Z106" s="96">
        <f t="shared" si="56"/>
        <v>10.981818181818182</v>
      </c>
      <c r="AA106" s="96">
        <f t="shared" si="57"/>
        <v>3.5759046708317088</v>
      </c>
      <c r="AB106" s="96">
        <v>0</v>
      </c>
      <c r="AC106" s="96">
        <f t="shared" si="58"/>
        <v>0.12787094214876032</v>
      </c>
      <c r="AD106" s="98">
        <f t="shared" si="59"/>
        <v>0.12787094214876032</v>
      </c>
      <c r="AE106" s="97">
        <f t="shared" si="60"/>
        <v>7.43424</v>
      </c>
      <c r="AF106" s="96">
        <f t="shared" si="61"/>
        <v>3.5759046708317088</v>
      </c>
      <c r="AG106" s="96">
        <f t="shared" si="76"/>
        <v>6.3935471074380162E-2</v>
      </c>
      <c r="AH106" s="96">
        <f t="shared" si="77"/>
        <v>3.0122552472179183</v>
      </c>
      <c r="AI106" s="98">
        <f t="shared" si="62"/>
        <v>3.0761907182922985</v>
      </c>
      <c r="AJ106" s="97">
        <f t="shared" si="63"/>
        <v>5.28</v>
      </c>
      <c r="AK106" s="96">
        <f t="shared" si="64"/>
        <v>7.6769828784296816</v>
      </c>
      <c r="AL106" s="96">
        <f t="shared" si="65"/>
        <v>0.34320000000000001</v>
      </c>
      <c r="AM106" s="96">
        <f t="shared" si="78"/>
        <v>4.8104000000000005</v>
      </c>
      <c r="AN106" s="98">
        <f t="shared" si="66"/>
        <v>5.1536000000000008</v>
      </c>
      <c r="AO106" s="97">
        <f t="shared" si="79"/>
        <v>5.114837685950413E-2</v>
      </c>
      <c r="AP106" s="96">
        <f t="shared" si="54"/>
        <v>0.12150000000000002</v>
      </c>
      <c r="AQ106" s="98">
        <f t="shared" si="67"/>
        <v>8.0999999999999996E-3</v>
      </c>
      <c r="AR106" s="97">
        <f t="shared" si="68"/>
        <v>8.4105390951518029</v>
      </c>
      <c r="AS106" s="96">
        <f t="shared" si="69"/>
        <v>63.36</v>
      </c>
      <c r="AT106" s="98">
        <f t="shared" si="70"/>
        <v>88.28134886377083</v>
      </c>
    </row>
    <row r="107" spans="17:46" x14ac:dyDescent="0.3">
      <c r="Q107" s="32">
        <v>100</v>
      </c>
      <c r="R107" s="97">
        <f t="shared" si="43"/>
        <v>12</v>
      </c>
      <c r="S107" s="96">
        <f t="shared" si="71"/>
        <v>5.3333333333333339</v>
      </c>
      <c r="T107" s="96">
        <f t="shared" si="45"/>
        <v>18</v>
      </c>
      <c r="U107" s="98">
        <f t="shared" si="72"/>
        <v>3.5555555555555554</v>
      </c>
      <c r="V107" s="97">
        <f t="shared" si="73"/>
        <v>2</v>
      </c>
      <c r="W107" s="96">
        <f t="shared" si="74"/>
        <v>0.4</v>
      </c>
      <c r="X107" s="98">
        <f t="shared" si="75"/>
        <v>0.6</v>
      </c>
      <c r="Y107" s="97">
        <f t="shared" si="55"/>
        <v>2.1818181818181821</v>
      </c>
      <c r="Z107" s="96">
        <f t="shared" si="56"/>
        <v>11.070707070707071</v>
      </c>
      <c r="AA107" s="96">
        <f t="shared" si="57"/>
        <v>3.6109097916616539</v>
      </c>
      <c r="AB107" s="96">
        <v>0</v>
      </c>
      <c r="AC107" s="96">
        <f t="shared" si="58"/>
        <v>0.13038669523518009</v>
      </c>
      <c r="AD107" s="98">
        <f t="shared" si="59"/>
        <v>0.13038669523518009</v>
      </c>
      <c r="AE107" s="97">
        <f t="shared" si="60"/>
        <v>7.5851851851851864</v>
      </c>
      <c r="AF107" s="96">
        <f t="shared" si="61"/>
        <v>3.6109097916616539</v>
      </c>
      <c r="AG107" s="96">
        <f t="shared" si="76"/>
        <v>6.5193347617590047E-2</v>
      </c>
      <c r="AH107" s="96">
        <f t="shared" si="77"/>
        <v>3.0426820678968873</v>
      </c>
      <c r="AI107" s="98">
        <f t="shared" si="62"/>
        <v>3.1078754155144774</v>
      </c>
      <c r="AJ107" s="97">
        <f t="shared" si="63"/>
        <v>5.3333333333333339</v>
      </c>
      <c r="AK107" s="96">
        <f t="shared" si="64"/>
        <v>7.7456979775533155</v>
      </c>
      <c r="AL107" s="96">
        <f t="shared" si="65"/>
        <v>0.34666666666666673</v>
      </c>
      <c r="AM107" s="96">
        <f t="shared" si="78"/>
        <v>4.8104000000000005</v>
      </c>
      <c r="AN107" s="98">
        <f t="shared" si="66"/>
        <v>5.1570666666666671</v>
      </c>
      <c r="AO107" s="97">
        <f t="shared" si="79"/>
        <v>5.2154678094072038E-2</v>
      </c>
      <c r="AP107" s="96">
        <f t="shared" si="54"/>
        <v>0.12150000000000002</v>
      </c>
      <c r="AQ107" s="98">
        <f t="shared" si="67"/>
        <v>8.0999999999999996E-3</v>
      </c>
      <c r="AR107" s="97">
        <f t="shared" si="68"/>
        <v>8.4466967602752163</v>
      </c>
      <c r="AS107" s="96">
        <f t="shared" si="69"/>
        <v>64</v>
      </c>
      <c r="AT107" s="98">
        <f t="shared" si="70"/>
        <v>88.340811744357126</v>
      </c>
    </row>
    <row r="108" spans="17:46" x14ac:dyDescent="0.3">
      <c r="Q108" s="32">
        <v>101</v>
      </c>
      <c r="R108" s="97">
        <f t="shared" si="43"/>
        <v>12</v>
      </c>
      <c r="S108" s="96">
        <f t="shared" si="71"/>
        <v>5.3866666666666667</v>
      </c>
      <c r="T108" s="96">
        <f t="shared" si="45"/>
        <v>18</v>
      </c>
      <c r="U108" s="98">
        <f t="shared" si="72"/>
        <v>3.5911111111111111</v>
      </c>
      <c r="V108" s="97">
        <f t="shared" si="73"/>
        <v>2</v>
      </c>
      <c r="W108" s="96">
        <f t="shared" si="74"/>
        <v>0.4</v>
      </c>
      <c r="X108" s="98">
        <f t="shared" si="75"/>
        <v>0.6</v>
      </c>
      <c r="Y108" s="97">
        <f t="shared" si="55"/>
        <v>2.1818181818181821</v>
      </c>
      <c r="Z108" s="96">
        <f t="shared" si="56"/>
        <v>11.15959595959596</v>
      </c>
      <c r="AA108" s="96">
        <f t="shared" si="57"/>
        <v>3.6459255652332936</v>
      </c>
      <c r="AB108" s="96">
        <v>0</v>
      </c>
      <c r="AC108" s="96">
        <f t="shared" si="58"/>
        <v>0.13292773227221713</v>
      </c>
      <c r="AD108" s="98">
        <f t="shared" si="59"/>
        <v>0.13292773227221713</v>
      </c>
      <c r="AE108" s="97">
        <f t="shared" si="60"/>
        <v>7.7376474074074082</v>
      </c>
      <c r="AF108" s="96">
        <f t="shared" si="61"/>
        <v>3.6459255652332936</v>
      </c>
      <c r="AG108" s="96">
        <f t="shared" si="76"/>
        <v>6.6463866136108565E-2</v>
      </c>
      <c r="AH108" s="96">
        <f t="shared" si="77"/>
        <v>3.073108888575856</v>
      </c>
      <c r="AI108" s="98">
        <f t="shared" si="62"/>
        <v>3.1395727547119647</v>
      </c>
      <c r="AJ108" s="97">
        <f t="shared" si="63"/>
        <v>5.3866666666666667</v>
      </c>
      <c r="AK108" s="96">
        <f t="shared" si="64"/>
        <v>7.8144155049962647</v>
      </c>
      <c r="AL108" s="96">
        <f t="shared" si="65"/>
        <v>0.35013333333333335</v>
      </c>
      <c r="AM108" s="96">
        <f t="shared" si="78"/>
        <v>4.8104000000000005</v>
      </c>
      <c r="AN108" s="98">
        <f t="shared" si="66"/>
        <v>5.1605333333333334</v>
      </c>
      <c r="AO108" s="97">
        <f t="shared" si="79"/>
        <v>5.3171092908886851E-2</v>
      </c>
      <c r="AP108" s="96">
        <f t="shared" si="54"/>
        <v>0.12150000000000002</v>
      </c>
      <c r="AQ108" s="98">
        <f t="shared" si="67"/>
        <v>8.0999999999999996E-3</v>
      </c>
      <c r="AR108" s="97">
        <f t="shared" si="68"/>
        <v>8.4828771809541852</v>
      </c>
      <c r="AS108" s="96">
        <f t="shared" si="69"/>
        <v>64.64</v>
      </c>
      <c r="AT108" s="98">
        <f t="shared" si="70"/>
        <v>88.399147424188513</v>
      </c>
    </row>
    <row r="109" spans="17:46" x14ac:dyDescent="0.3">
      <c r="Q109" s="32">
        <v>102</v>
      </c>
      <c r="R109" s="97">
        <f t="shared" si="43"/>
        <v>12</v>
      </c>
      <c r="S109" s="96">
        <f t="shared" si="71"/>
        <v>5.44</v>
      </c>
      <c r="T109" s="96">
        <f t="shared" si="45"/>
        <v>18</v>
      </c>
      <c r="U109" s="98">
        <f t="shared" si="72"/>
        <v>3.6266666666666669</v>
      </c>
      <c r="V109" s="97">
        <f t="shared" si="73"/>
        <v>2</v>
      </c>
      <c r="W109" s="96">
        <f t="shared" si="74"/>
        <v>0.4</v>
      </c>
      <c r="X109" s="98">
        <f t="shared" si="75"/>
        <v>0.6</v>
      </c>
      <c r="Y109" s="97">
        <f t="shared" si="55"/>
        <v>2.1818181818181821</v>
      </c>
      <c r="Z109" s="96">
        <f t="shared" si="56"/>
        <v>11.248484848484848</v>
      </c>
      <c r="AA109" s="96">
        <f t="shared" si="57"/>
        <v>3.6809516875377688</v>
      </c>
      <c r="AB109" s="96">
        <v>0</v>
      </c>
      <c r="AC109" s="96">
        <f t="shared" si="58"/>
        <v>0.13549405325987149</v>
      </c>
      <c r="AD109" s="98">
        <f t="shared" si="59"/>
        <v>0.13549405325987149</v>
      </c>
      <c r="AE109" s="97">
        <f t="shared" si="60"/>
        <v>7.8916266666666672</v>
      </c>
      <c r="AF109" s="96">
        <f t="shared" si="61"/>
        <v>3.6809516875377688</v>
      </c>
      <c r="AG109" s="96">
        <f t="shared" si="76"/>
        <v>6.7747026629935744E-2</v>
      </c>
      <c r="AH109" s="96">
        <f t="shared" si="77"/>
        <v>3.103535709254825</v>
      </c>
      <c r="AI109" s="98">
        <f t="shared" si="62"/>
        <v>3.1712827358847608</v>
      </c>
      <c r="AJ109" s="97">
        <f t="shared" si="63"/>
        <v>5.44</v>
      </c>
      <c r="AK109" s="96">
        <f t="shared" si="64"/>
        <v>7.8831353972553355</v>
      </c>
      <c r="AL109" s="96">
        <f t="shared" si="65"/>
        <v>0.35360000000000003</v>
      </c>
      <c r="AM109" s="96">
        <f t="shared" si="78"/>
        <v>4.8104000000000005</v>
      </c>
      <c r="AN109" s="98">
        <f t="shared" si="66"/>
        <v>5.1640000000000006</v>
      </c>
      <c r="AO109" s="97">
        <f t="shared" si="79"/>
        <v>5.4197621303948597E-2</v>
      </c>
      <c r="AP109" s="96">
        <f t="shared" si="54"/>
        <v>0.12150000000000002</v>
      </c>
      <c r="AQ109" s="98">
        <f t="shared" si="67"/>
        <v>8.0999999999999996E-3</v>
      </c>
      <c r="AR109" s="97">
        <f t="shared" si="68"/>
        <v>8.5190803571887095</v>
      </c>
      <c r="AS109" s="96">
        <f t="shared" si="69"/>
        <v>65.28</v>
      </c>
      <c r="AT109" s="98">
        <f t="shared" si="70"/>
        <v>88.456386833065906</v>
      </c>
    </row>
    <row r="110" spans="17:46" x14ac:dyDescent="0.3">
      <c r="Q110" s="32">
        <v>103</v>
      </c>
      <c r="R110" s="97">
        <f t="shared" si="43"/>
        <v>12</v>
      </c>
      <c r="S110" s="96">
        <f t="shared" si="71"/>
        <v>5.4933333333333341</v>
      </c>
      <c r="T110" s="96">
        <f t="shared" si="45"/>
        <v>18</v>
      </c>
      <c r="U110" s="98">
        <f t="shared" si="72"/>
        <v>3.6622222222222232</v>
      </c>
      <c r="V110" s="97">
        <f t="shared" si="73"/>
        <v>2</v>
      </c>
      <c r="W110" s="96">
        <f t="shared" si="74"/>
        <v>0.4</v>
      </c>
      <c r="X110" s="98">
        <f t="shared" si="75"/>
        <v>0.6</v>
      </c>
      <c r="Y110" s="97">
        <f t="shared" si="55"/>
        <v>2.1818181818181821</v>
      </c>
      <c r="Z110" s="96">
        <f t="shared" si="56"/>
        <v>11.337373737373738</v>
      </c>
      <c r="AA110" s="96">
        <f t="shared" si="57"/>
        <v>3.715987865940134</v>
      </c>
      <c r="AB110" s="96">
        <v>0</v>
      </c>
      <c r="AC110" s="96">
        <f t="shared" si="58"/>
        <v>0.13808565819814311</v>
      </c>
      <c r="AD110" s="98">
        <f t="shared" si="59"/>
        <v>0.13808565819814311</v>
      </c>
      <c r="AE110" s="97">
        <f t="shared" si="60"/>
        <v>8.0471229629629661</v>
      </c>
      <c r="AF110" s="96">
        <f t="shared" si="61"/>
        <v>3.715987865940134</v>
      </c>
      <c r="AG110" s="96">
        <f t="shared" si="76"/>
        <v>6.9042829099071557E-2</v>
      </c>
      <c r="AH110" s="96">
        <f t="shared" si="77"/>
        <v>3.1339625299337941</v>
      </c>
      <c r="AI110" s="98">
        <f t="shared" si="62"/>
        <v>3.2030053590328658</v>
      </c>
      <c r="AJ110" s="97">
        <f t="shared" si="63"/>
        <v>5.4933333333333341</v>
      </c>
      <c r="AK110" s="96">
        <f t="shared" si="64"/>
        <v>7.9518575930203603</v>
      </c>
      <c r="AL110" s="96">
        <f t="shared" si="65"/>
        <v>0.3570666666666667</v>
      </c>
      <c r="AM110" s="96">
        <f t="shared" si="78"/>
        <v>4.8104000000000005</v>
      </c>
      <c r="AN110" s="98">
        <f t="shared" si="66"/>
        <v>5.1674666666666669</v>
      </c>
      <c r="AO110" s="97">
        <f t="shared" si="79"/>
        <v>5.5234263279257241E-2</v>
      </c>
      <c r="AP110" s="96">
        <f t="shared" si="54"/>
        <v>0.12150000000000002</v>
      </c>
      <c r="AQ110" s="98">
        <f t="shared" si="67"/>
        <v>8.0999999999999996E-3</v>
      </c>
      <c r="AR110" s="97">
        <f t="shared" si="68"/>
        <v>8.555306288978791</v>
      </c>
      <c r="AS110" s="96">
        <f t="shared" si="69"/>
        <v>65.920000000000016</v>
      </c>
      <c r="AT110" s="98">
        <f t="shared" si="70"/>
        <v>88.512559779502595</v>
      </c>
    </row>
    <row r="111" spans="17:46" x14ac:dyDescent="0.3">
      <c r="Q111" s="32">
        <v>104</v>
      </c>
      <c r="R111" s="97">
        <f t="shared" si="43"/>
        <v>12</v>
      </c>
      <c r="S111" s="96">
        <f t="shared" si="71"/>
        <v>5.5466666666666669</v>
      </c>
      <c r="T111" s="96">
        <f t="shared" si="45"/>
        <v>18</v>
      </c>
      <c r="U111" s="98">
        <f t="shared" si="72"/>
        <v>3.6977777777777781</v>
      </c>
      <c r="V111" s="97">
        <f t="shared" si="73"/>
        <v>2</v>
      </c>
      <c r="W111" s="96">
        <f t="shared" si="74"/>
        <v>0.4</v>
      </c>
      <c r="X111" s="98">
        <f t="shared" si="75"/>
        <v>0.6</v>
      </c>
      <c r="Y111" s="97">
        <f t="shared" si="55"/>
        <v>2.1818181818181821</v>
      </c>
      <c r="Z111" s="96">
        <f t="shared" si="56"/>
        <v>11.426262626262627</v>
      </c>
      <c r="AA111" s="96">
        <f t="shared" si="57"/>
        <v>3.7510338186562908</v>
      </c>
      <c r="AB111" s="96">
        <v>0</v>
      </c>
      <c r="AC111" s="96">
        <f t="shared" si="58"/>
        <v>0.14070254708703198</v>
      </c>
      <c r="AD111" s="98">
        <f t="shared" si="59"/>
        <v>0.14070254708703198</v>
      </c>
      <c r="AE111" s="97">
        <f t="shared" si="60"/>
        <v>8.2041362962962978</v>
      </c>
      <c r="AF111" s="96">
        <f t="shared" si="61"/>
        <v>3.7510338186562908</v>
      </c>
      <c r="AG111" s="96">
        <f t="shared" si="76"/>
        <v>7.0351273543515988E-2</v>
      </c>
      <c r="AH111" s="96">
        <f t="shared" si="77"/>
        <v>3.1643893506127632</v>
      </c>
      <c r="AI111" s="98">
        <f t="shared" si="62"/>
        <v>3.2347406241562791</v>
      </c>
      <c r="AJ111" s="97">
        <f t="shared" si="63"/>
        <v>5.5466666666666669</v>
      </c>
      <c r="AK111" s="96">
        <f t="shared" si="64"/>
        <v>8.0205820330804247</v>
      </c>
      <c r="AL111" s="96">
        <f t="shared" si="65"/>
        <v>0.36053333333333337</v>
      </c>
      <c r="AM111" s="96">
        <f t="shared" si="78"/>
        <v>4.8104000000000005</v>
      </c>
      <c r="AN111" s="98">
        <f t="shared" si="66"/>
        <v>5.170933333333334</v>
      </c>
      <c r="AO111" s="97">
        <f t="shared" si="79"/>
        <v>5.6281018834812784E-2</v>
      </c>
      <c r="AP111" s="96">
        <f t="shared" si="54"/>
        <v>0.12150000000000002</v>
      </c>
      <c r="AQ111" s="98">
        <f t="shared" si="67"/>
        <v>8.0999999999999996E-3</v>
      </c>
      <c r="AR111" s="97">
        <f t="shared" si="68"/>
        <v>8.5915549763244261</v>
      </c>
      <c r="AS111" s="96">
        <f t="shared" si="69"/>
        <v>66.56</v>
      </c>
      <c r="AT111" s="98">
        <f t="shared" si="70"/>
        <v>88.567695001080025</v>
      </c>
    </row>
    <row r="112" spans="17:46" x14ac:dyDescent="0.3">
      <c r="Q112" s="32">
        <v>105</v>
      </c>
      <c r="R112" s="97">
        <f t="shared" si="43"/>
        <v>12</v>
      </c>
      <c r="S112" s="96">
        <f t="shared" si="71"/>
        <v>5.6000000000000005</v>
      </c>
      <c r="T112" s="96">
        <f t="shared" si="45"/>
        <v>18</v>
      </c>
      <c r="U112" s="98">
        <f t="shared" si="72"/>
        <v>3.7333333333333334</v>
      </c>
      <c r="V112" s="97">
        <f t="shared" si="73"/>
        <v>2</v>
      </c>
      <c r="W112" s="96">
        <f t="shared" si="74"/>
        <v>0.4</v>
      </c>
      <c r="X112" s="98">
        <f t="shared" si="75"/>
        <v>0.6</v>
      </c>
      <c r="Y112" s="97">
        <f t="shared" si="55"/>
        <v>2.1818181818181821</v>
      </c>
      <c r="Z112" s="96">
        <f t="shared" si="56"/>
        <v>11.515151515151516</v>
      </c>
      <c r="AA112" s="96">
        <f t="shared" si="57"/>
        <v>3.7860892742583094</v>
      </c>
      <c r="AB112" s="96">
        <v>0</v>
      </c>
      <c r="AC112" s="96">
        <f t="shared" si="58"/>
        <v>0.14334471992653813</v>
      </c>
      <c r="AD112" s="98">
        <f t="shared" si="59"/>
        <v>0.14334471992653813</v>
      </c>
      <c r="AE112" s="97">
        <f t="shared" si="60"/>
        <v>8.3626666666666676</v>
      </c>
      <c r="AF112" s="96">
        <f t="shared" si="61"/>
        <v>3.7860892742583094</v>
      </c>
      <c r="AG112" s="96">
        <f t="shared" si="76"/>
        <v>7.1672359963269067E-2</v>
      </c>
      <c r="AH112" s="96">
        <f t="shared" si="77"/>
        <v>3.1948161712917318</v>
      </c>
      <c r="AI112" s="98">
        <f t="shared" si="62"/>
        <v>3.2664885312550007</v>
      </c>
      <c r="AJ112" s="97">
        <f t="shared" si="63"/>
        <v>5.6000000000000005</v>
      </c>
      <c r="AK112" s="96">
        <f t="shared" si="64"/>
        <v>8.0893086602348774</v>
      </c>
      <c r="AL112" s="96">
        <f t="shared" si="65"/>
        <v>0.36400000000000005</v>
      </c>
      <c r="AM112" s="96">
        <f t="shared" si="78"/>
        <v>4.8104000000000005</v>
      </c>
      <c r="AN112" s="98">
        <f t="shared" si="66"/>
        <v>5.1744000000000003</v>
      </c>
      <c r="AO112" s="97">
        <f t="shared" si="79"/>
        <v>5.7337887970615252E-2</v>
      </c>
      <c r="AP112" s="96">
        <f t="shared" si="54"/>
        <v>0.12150000000000002</v>
      </c>
      <c r="AQ112" s="98">
        <f t="shared" si="67"/>
        <v>8.0999999999999996E-3</v>
      </c>
      <c r="AR112" s="97">
        <f t="shared" si="68"/>
        <v>8.6278264192256167</v>
      </c>
      <c r="AS112" s="96">
        <f t="shared" si="69"/>
        <v>67.2</v>
      </c>
      <c r="AT112" s="98">
        <f t="shared" si="70"/>
        <v>88.621820212114002</v>
      </c>
    </row>
    <row r="113" spans="17:46" x14ac:dyDescent="0.3">
      <c r="Q113" s="32">
        <v>106</v>
      </c>
      <c r="R113" s="97">
        <f t="shared" si="43"/>
        <v>12</v>
      </c>
      <c r="S113" s="96">
        <f t="shared" si="71"/>
        <v>5.6533333333333333</v>
      </c>
      <c r="T113" s="96">
        <f t="shared" si="45"/>
        <v>18</v>
      </c>
      <c r="U113" s="98">
        <f t="shared" si="72"/>
        <v>3.7688888888888892</v>
      </c>
      <c r="V113" s="97">
        <f t="shared" si="73"/>
        <v>2</v>
      </c>
      <c r="W113" s="96">
        <f t="shared" si="74"/>
        <v>0.4</v>
      </c>
      <c r="X113" s="98">
        <f t="shared" si="75"/>
        <v>0.6</v>
      </c>
      <c r="Y113" s="97">
        <f t="shared" si="55"/>
        <v>2.1818181818181821</v>
      </c>
      <c r="Z113" s="96">
        <f t="shared" si="56"/>
        <v>11.604040404040404</v>
      </c>
      <c r="AA113" s="96">
        <f t="shared" si="57"/>
        <v>3.8211539712063631</v>
      </c>
      <c r="AB113" s="96">
        <v>0</v>
      </c>
      <c r="AC113" s="96">
        <f t="shared" si="58"/>
        <v>0.14601217671666158</v>
      </c>
      <c r="AD113" s="98">
        <f t="shared" si="59"/>
        <v>0.14601217671666158</v>
      </c>
      <c r="AE113" s="97">
        <f t="shared" si="60"/>
        <v>8.5227140740740754</v>
      </c>
      <c r="AF113" s="96">
        <f t="shared" si="61"/>
        <v>3.8211539712063631</v>
      </c>
      <c r="AG113" s="96">
        <f t="shared" si="76"/>
        <v>7.3006088358330792E-2</v>
      </c>
      <c r="AH113" s="96">
        <f t="shared" si="77"/>
        <v>3.2252429919707009</v>
      </c>
      <c r="AI113" s="98">
        <f t="shared" si="62"/>
        <v>3.2982490803290316</v>
      </c>
      <c r="AJ113" s="97">
        <f t="shared" si="63"/>
        <v>5.6533333333333333</v>
      </c>
      <c r="AK113" s="96">
        <f t="shared" si="64"/>
        <v>8.1580374192087941</v>
      </c>
      <c r="AL113" s="96">
        <f t="shared" si="65"/>
        <v>0.36746666666666666</v>
      </c>
      <c r="AM113" s="96">
        <f t="shared" si="78"/>
        <v>4.8104000000000005</v>
      </c>
      <c r="AN113" s="98">
        <f t="shared" si="66"/>
        <v>5.1778666666666675</v>
      </c>
      <c r="AO113" s="97">
        <f t="shared" si="79"/>
        <v>5.8404870686664639E-2</v>
      </c>
      <c r="AP113" s="96">
        <f t="shared" si="54"/>
        <v>0.12150000000000002</v>
      </c>
      <c r="AQ113" s="98">
        <f t="shared" si="67"/>
        <v>8.0999999999999996E-3</v>
      </c>
      <c r="AR113" s="97">
        <f t="shared" si="68"/>
        <v>8.6641206176823644</v>
      </c>
      <c r="AS113" s="96">
        <f t="shared" si="69"/>
        <v>67.84</v>
      </c>
      <c r="AT113" s="98">
        <f t="shared" si="70"/>
        <v>88.674962148797221</v>
      </c>
    </row>
    <row r="114" spans="17:46" x14ac:dyDescent="0.3">
      <c r="Q114" s="32">
        <v>107</v>
      </c>
      <c r="R114" s="97">
        <f t="shared" si="43"/>
        <v>12</v>
      </c>
      <c r="S114" s="96">
        <f t="shared" si="71"/>
        <v>5.706666666666667</v>
      </c>
      <c r="T114" s="96">
        <f t="shared" si="45"/>
        <v>18</v>
      </c>
      <c r="U114" s="98">
        <f t="shared" si="72"/>
        <v>3.8044444444444445</v>
      </c>
      <c r="V114" s="97">
        <f t="shared" si="73"/>
        <v>2</v>
      </c>
      <c r="W114" s="96">
        <f t="shared" si="74"/>
        <v>0.4</v>
      </c>
      <c r="X114" s="98">
        <f t="shared" si="75"/>
        <v>0.6</v>
      </c>
      <c r="Y114" s="97">
        <f t="shared" si="55"/>
        <v>2.1818181818181821</v>
      </c>
      <c r="Z114" s="96">
        <f t="shared" si="56"/>
        <v>11.692929292929293</v>
      </c>
      <c r="AA114" s="96">
        <f t="shared" si="57"/>
        <v>3.8562276574056455</v>
      </c>
      <c r="AB114" s="96">
        <v>0</v>
      </c>
      <c r="AC114" s="96">
        <f t="shared" si="58"/>
        <v>0.14870491745740233</v>
      </c>
      <c r="AD114" s="98">
        <f t="shared" si="59"/>
        <v>0.14870491745740233</v>
      </c>
      <c r="AE114" s="97">
        <f t="shared" si="60"/>
        <v>8.6842785185185196</v>
      </c>
      <c r="AF114" s="96">
        <f t="shared" si="61"/>
        <v>3.8562276574056455</v>
      </c>
      <c r="AG114" s="96">
        <f t="shared" si="76"/>
        <v>7.4352458728701165E-2</v>
      </c>
      <c r="AH114" s="96">
        <f t="shared" si="77"/>
        <v>3.255669812649669</v>
      </c>
      <c r="AI114" s="98">
        <f t="shared" si="62"/>
        <v>3.33002227137837</v>
      </c>
      <c r="AJ114" s="97">
        <f t="shared" si="63"/>
        <v>5.706666666666667</v>
      </c>
      <c r="AK114" s="96">
        <f t="shared" si="64"/>
        <v>8.2267682565727061</v>
      </c>
      <c r="AL114" s="96">
        <f t="shared" si="65"/>
        <v>0.37093333333333339</v>
      </c>
      <c r="AM114" s="96">
        <f t="shared" si="78"/>
        <v>4.8104000000000005</v>
      </c>
      <c r="AN114" s="98">
        <f t="shared" si="66"/>
        <v>5.1813333333333338</v>
      </c>
      <c r="AO114" s="97">
        <f t="shared" si="79"/>
        <v>5.9481966982960932E-2</v>
      </c>
      <c r="AP114" s="96">
        <f t="shared" si="54"/>
        <v>0.12150000000000002</v>
      </c>
      <c r="AQ114" s="98">
        <f t="shared" si="67"/>
        <v>8.0999999999999996E-3</v>
      </c>
      <c r="AR114" s="97">
        <f t="shared" si="68"/>
        <v>8.700437571694664</v>
      </c>
      <c r="AS114" s="96">
        <f t="shared" si="69"/>
        <v>68.48</v>
      </c>
      <c r="AT114" s="98">
        <f t="shared" si="70"/>
        <v>88.727146611973239</v>
      </c>
    </row>
    <row r="115" spans="17:46" x14ac:dyDescent="0.3">
      <c r="Q115" s="32">
        <v>108</v>
      </c>
      <c r="R115" s="97">
        <f t="shared" si="43"/>
        <v>12</v>
      </c>
      <c r="S115" s="96">
        <f t="shared" si="71"/>
        <v>5.7600000000000007</v>
      </c>
      <c r="T115" s="96">
        <f t="shared" si="45"/>
        <v>18</v>
      </c>
      <c r="U115" s="98">
        <f t="shared" si="72"/>
        <v>3.8400000000000003</v>
      </c>
      <c r="V115" s="97">
        <f t="shared" si="73"/>
        <v>2</v>
      </c>
      <c r="W115" s="96">
        <f t="shared" si="74"/>
        <v>0.4</v>
      </c>
      <c r="X115" s="98">
        <f t="shared" si="75"/>
        <v>0.6</v>
      </c>
      <c r="Y115" s="97">
        <f t="shared" si="55"/>
        <v>2.1818181818181821</v>
      </c>
      <c r="Z115" s="96">
        <f t="shared" si="56"/>
        <v>11.781818181818183</v>
      </c>
      <c r="AA115" s="96">
        <f t="shared" si="57"/>
        <v>3.8913100897867334</v>
      </c>
      <c r="AB115" s="96">
        <v>0</v>
      </c>
      <c r="AC115" s="96">
        <f t="shared" si="58"/>
        <v>0.15142294214876034</v>
      </c>
      <c r="AD115" s="98">
        <f t="shared" si="59"/>
        <v>0.15142294214876034</v>
      </c>
      <c r="AE115" s="97">
        <f t="shared" si="60"/>
        <v>8.8473600000000019</v>
      </c>
      <c r="AF115" s="96">
        <f t="shared" si="61"/>
        <v>3.8913100897867334</v>
      </c>
      <c r="AG115" s="96">
        <f t="shared" si="76"/>
        <v>7.5711471074380171E-2</v>
      </c>
      <c r="AH115" s="96">
        <f t="shared" si="77"/>
        <v>3.286096633328639</v>
      </c>
      <c r="AI115" s="98">
        <f t="shared" si="62"/>
        <v>3.361808104403019</v>
      </c>
      <c r="AJ115" s="97">
        <f t="shared" si="63"/>
        <v>5.7600000000000007</v>
      </c>
      <c r="AK115" s="96">
        <f t="shared" si="64"/>
        <v>8.2955011206662626</v>
      </c>
      <c r="AL115" s="96">
        <f t="shared" si="65"/>
        <v>0.37440000000000007</v>
      </c>
      <c r="AM115" s="96">
        <f t="shared" si="78"/>
        <v>4.8104000000000005</v>
      </c>
      <c r="AN115" s="98">
        <f t="shared" si="66"/>
        <v>5.184800000000001</v>
      </c>
      <c r="AO115" s="97">
        <f t="shared" si="79"/>
        <v>6.0569176859504144E-2</v>
      </c>
      <c r="AP115" s="96">
        <f t="shared" si="54"/>
        <v>0.12150000000000002</v>
      </c>
      <c r="AQ115" s="98">
        <f t="shared" si="67"/>
        <v>8.0999999999999996E-3</v>
      </c>
      <c r="AR115" s="97">
        <f t="shared" si="68"/>
        <v>8.7367772812625244</v>
      </c>
      <c r="AS115" s="96">
        <f t="shared" si="69"/>
        <v>69.12</v>
      </c>
      <c r="AT115" s="98">
        <f t="shared" si="70"/>
        <v>88.778398507685012</v>
      </c>
    </row>
    <row r="116" spans="17:46" x14ac:dyDescent="0.3">
      <c r="Q116" s="32">
        <v>109</v>
      </c>
      <c r="R116" s="97">
        <f t="shared" si="43"/>
        <v>12</v>
      </c>
      <c r="S116" s="96">
        <f t="shared" si="71"/>
        <v>5.8133333333333335</v>
      </c>
      <c r="T116" s="96">
        <f t="shared" si="45"/>
        <v>18</v>
      </c>
      <c r="U116" s="98">
        <f t="shared" si="72"/>
        <v>3.8755555555555556</v>
      </c>
      <c r="V116" s="97">
        <f t="shared" si="73"/>
        <v>2</v>
      </c>
      <c r="W116" s="96">
        <f t="shared" si="74"/>
        <v>0.4</v>
      </c>
      <c r="X116" s="98">
        <f t="shared" si="75"/>
        <v>0.6</v>
      </c>
      <c r="Y116" s="97">
        <f t="shared" si="55"/>
        <v>2.1818181818181821</v>
      </c>
      <c r="Z116" s="96">
        <f t="shared" si="56"/>
        <v>11.870707070707072</v>
      </c>
      <c r="AA116" s="96">
        <f t="shared" si="57"/>
        <v>3.9264010339079687</v>
      </c>
      <c r="AB116" s="96">
        <v>0</v>
      </c>
      <c r="AC116" s="96">
        <f t="shared" si="58"/>
        <v>0.15416625079073565</v>
      </c>
      <c r="AD116" s="98">
        <f t="shared" si="59"/>
        <v>0.15416625079073565</v>
      </c>
      <c r="AE116" s="97">
        <f t="shared" si="60"/>
        <v>9.0119585185185187</v>
      </c>
      <c r="AF116" s="96">
        <f t="shared" si="61"/>
        <v>3.9264010339079687</v>
      </c>
      <c r="AG116" s="96">
        <f t="shared" si="76"/>
        <v>7.7083125395367824E-2</v>
      </c>
      <c r="AH116" s="96">
        <f t="shared" si="77"/>
        <v>3.3165234540076072</v>
      </c>
      <c r="AI116" s="98">
        <f t="shared" si="62"/>
        <v>3.3936065794029751</v>
      </c>
      <c r="AJ116" s="97">
        <f t="shared" si="63"/>
        <v>5.8133333333333335</v>
      </c>
      <c r="AK116" s="96">
        <f t="shared" si="64"/>
        <v>8.36423596152569</v>
      </c>
      <c r="AL116" s="96">
        <f t="shared" si="65"/>
        <v>0.37786666666666668</v>
      </c>
      <c r="AM116" s="96">
        <f t="shared" si="78"/>
        <v>4.8104000000000005</v>
      </c>
      <c r="AN116" s="98">
        <f t="shared" si="66"/>
        <v>5.1882666666666672</v>
      </c>
      <c r="AO116" s="97">
        <f t="shared" si="79"/>
        <v>6.1666500316294261E-2</v>
      </c>
      <c r="AP116" s="96">
        <f t="shared" si="54"/>
        <v>0.12150000000000002</v>
      </c>
      <c r="AQ116" s="98">
        <f t="shared" si="67"/>
        <v>8.0999999999999996E-3</v>
      </c>
      <c r="AR116" s="97">
        <f t="shared" si="68"/>
        <v>8.7731397463859366</v>
      </c>
      <c r="AS116" s="96">
        <f t="shared" si="69"/>
        <v>69.760000000000005</v>
      </c>
      <c r="AT116" s="98">
        <f t="shared" si="70"/>
        <v>88.828741885632212</v>
      </c>
    </row>
    <row r="117" spans="17:46" x14ac:dyDescent="0.3">
      <c r="Q117" s="32">
        <v>110</v>
      </c>
      <c r="R117" s="97">
        <f t="shared" si="43"/>
        <v>12</v>
      </c>
      <c r="S117" s="96">
        <f t="shared" si="71"/>
        <v>5.8666666666666671</v>
      </c>
      <c r="T117" s="96">
        <f t="shared" si="45"/>
        <v>18</v>
      </c>
      <c r="U117" s="98">
        <f t="shared" si="72"/>
        <v>3.9111111111111114</v>
      </c>
      <c r="V117" s="97">
        <f t="shared" si="73"/>
        <v>2</v>
      </c>
      <c r="W117" s="96">
        <f t="shared" si="74"/>
        <v>0.4</v>
      </c>
      <c r="X117" s="98">
        <f t="shared" si="75"/>
        <v>0.6</v>
      </c>
      <c r="Y117" s="97">
        <f t="shared" si="55"/>
        <v>2.1818181818181821</v>
      </c>
      <c r="Z117" s="96">
        <f t="shared" si="56"/>
        <v>11.95959595959596</v>
      </c>
      <c r="AA117" s="96">
        <f t="shared" si="57"/>
        <v>3.9615002635785381</v>
      </c>
      <c r="AB117" s="96">
        <v>0</v>
      </c>
      <c r="AC117" s="96">
        <f t="shared" si="58"/>
        <v>0.15693484338332828</v>
      </c>
      <c r="AD117" s="98">
        <f t="shared" si="59"/>
        <v>0.15693484338332828</v>
      </c>
      <c r="AE117" s="97">
        <f t="shared" si="60"/>
        <v>9.1780740740740754</v>
      </c>
      <c r="AF117" s="96">
        <f t="shared" si="61"/>
        <v>3.9615002635785381</v>
      </c>
      <c r="AG117" s="96">
        <f t="shared" si="76"/>
        <v>7.8467421691664138E-2</v>
      </c>
      <c r="AH117" s="96">
        <f t="shared" si="77"/>
        <v>3.3469502746865762</v>
      </c>
      <c r="AI117" s="98">
        <f t="shared" si="62"/>
        <v>3.4254176963782403</v>
      </c>
      <c r="AJ117" s="97">
        <f t="shared" si="63"/>
        <v>5.8666666666666671</v>
      </c>
      <c r="AK117" s="96">
        <f t="shared" si="64"/>
        <v>8.4329727308147664</v>
      </c>
      <c r="AL117" s="96">
        <f t="shared" si="65"/>
        <v>0.38133333333333336</v>
      </c>
      <c r="AM117" s="96">
        <f t="shared" si="78"/>
        <v>4.8104000000000005</v>
      </c>
      <c r="AN117" s="98">
        <f t="shared" si="66"/>
        <v>5.1917333333333335</v>
      </c>
      <c r="AO117" s="97">
        <f t="shared" si="79"/>
        <v>6.2773937353331311E-2</v>
      </c>
      <c r="AP117" s="96">
        <f t="shared" si="54"/>
        <v>0.12150000000000002</v>
      </c>
      <c r="AQ117" s="98">
        <f t="shared" si="67"/>
        <v>8.0999999999999996E-3</v>
      </c>
      <c r="AR117" s="97">
        <f t="shared" si="68"/>
        <v>8.8095249670649043</v>
      </c>
      <c r="AS117" s="96">
        <f t="shared" si="69"/>
        <v>70.400000000000006</v>
      </c>
      <c r="AT117" s="98">
        <f t="shared" si="70"/>
        <v>88.87819997566217</v>
      </c>
    </row>
    <row r="118" spans="17:46" x14ac:dyDescent="0.3">
      <c r="Q118" s="32">
        <v>111</v>
      </c>
      <c r="R118" s="97">
        <f t="shared" si="43"/>
        <v>12</v>
      </c>
      <c r="S118" s="96">
        <f t="shared" si="71"/>
        <v>5.9200000000000008</v>
      </c>
      <c r="T118" s="96">
        <f t="shared" si="45"/>
        <v>18</v>
      </c>
      <c r="U118" s="98">
        <f t="shared" si="72"/>
        <v>3.9466666666666672</v>
      </c>
      <c r="V118" s="97">
        <f t="shared" si="73"/>
        <v>2</v>
      </c>
      <c r="W118" s="96">
        <f t="shared" si="74"/>
        <v>0.4</v>
      </c>
      <c r="X118" s="98">
        <f t="shared" si="75"/>
        <v>0.6</v>
      </c>
      <c r="Y118" s="97">
        <f t="shared" si="55"/>
        <v>2.1818181818181821</v>
      </c>
      <c r="Z118" s="96">
        <f t="shared" si="56"/>
        <v>12.048484848484849</v>
      </c>
      <c r="AA118" s="96">
        <f t="shared" si="57"/>
        <v>3.9966075605010074</v>
      </c>
      <c r="AB118" s="96">
        <v>0</v>
      </c>
      <c r="AC118" s="96">
        <f t="shared" si="58"/>
        <v>0.15972871992653814</v>
      </c>
      <c r="AD118" s="98">
        <f t="shared" si="59"/>
        <v>0.15972871992653814</v>
      </c>
      <c r="AE118" s="97">
        <f t="shared" si="60"/>
        <v>9.3457066666666702</v>
      </c>
      <c r="AF118" s="96">
        <f t="shared" si="61"/>
        <v>3.9966075605010074</v>
      </c>
      <c r="AG118" s="96">
        <f t="shared" si="76"/>
        <v>7.9864359963269071E-2</v>
      </c>
      <c r="AH118" s="96">
        <f t="shared" si="77"/>
        <v>3.3773770953655449</v>
      </c>
      <c r="AI118" s="98">
        <f t="shared" si="62"/>
        <v>3.457241455328814</v>
      </c>
      <c r="AJ118" s="97">
        <f t="shared" si="63"/>
        <v>5.9200000000000008</v>
      </c>
      <c r="AK118" s="96">
        <f t="shared" si="64"/>
        <v>8.501711381759133</v>
      </c>
      <c r="AL118" s="96">
        <f t="shared" si="65"/>
        <v>0.38480000000000009</v>
      </c>
      <c r="AM118" s="96">
        <f t="shared" si="78"/>
        <v>4.8104000000000005</v>
      </c>
      <c r="AN118" s="98">
        <f t="shared" si="66"/>
        <v>5.1952000000000007</v>
      </c>
      <c r="AO118" s="97">
        <f t="shared" si="79"/>
        <v>6.3891487970615252E-2</v>
      </c>
      <c r="AP118" s="96">
        <f t="shared" si="54"/>
        <v>0.12150000000000002</v>
      </c>
      <c r="AQ118" s="98">
        <f t="shared" si="67"/>
        <v>8.0999999999999996E-3</v>
      </c>
      <c r="AR118" s="97">
        <f t="shared" si="68"/>
        <v>8.8459329432994291</v>
      </c>
      <c r="AS118" s="96">
        <f t="shared" si="69"/>
        <v>71.040000000000006</v>
      </c>
      <c r="AT118" s="98">
        <f t="shared" si="70"/>
        <v>88.926795222410433</v>
      </c>
    </row>
    <row r="119" spans="17:46" x14ac:dyDescent="0.3">
      <c r="Q119" s="32">
        <v>112</v>
      </c>
      <c r="R119" s="97">
        <f t="shared" si="43"/>
        <v>12</v>
      </c>
      <c r="S119" s="96">
        <f t="shared" si="71"/>
        <v>5.9733333333333336</v>
      </c>
      <c r="T119" s="96">
        <f t="shared" si="45"/>
        <v>18</v>
      </c>
      <c r="U119" s="98">
        <f t="shared" si="72"/>
        <v>3.9822222222222226</v>
      </c>
      <c r="V119" s="97">
        <f t="shared" si="73"/>
        <v>2</v>
      </c>
      <c r="W119" s="96">
        <f t="shared" si="74"/>
        <v>0.4</v>
      </c>
      <c r="X119" s="98">
        <f t="shared" si="75"/>
        <v>0.6</v>
      </c>
      <c r="Y119" s="97">
        <f t="shared" si="55"/>
        <v>2.1818181818181821</v>
      </c>
      <c r="Z119" s="96">
        <f t="shared" si="56"/>
        <v>12.137373737373737</v>
      </c>
      <c r="AA119" s="96">
        <f t="shared" si="57"/>
        <v>4.0317227139321634</v>
      </c>
      <c r="AB119" s="96">
        <v>0</v>
      </c>
      <c r="AC119" s="96">
        <f t="shared" si="58"/>
        <v>0.1625478804203653</v>
      </c>
      <c r="AD119" s="98">
        <f t="shared" si="59"/>
        <v>0.1625478804203653</v>
      </c>
      <c r="AE119" s="97">
        <f t="shared" si="60"/>
        <v>9.5148562962962977</v>
      </c>
      <c r="AF119" s="96">
        <f t="shared" si="61"/>
        <v>4.0317227139321634</v>
      </c>
      <c r="AG119" s="96">
        <f t="shared" si="76"/>
        <v>8.1273940210182652E-2</v>
      </c>
      <c r="AH119" s="96">
        <f t="shared" si="77"/>
        <v>3.4078039160445139</v>
      </c>
      <c r="AI119" s="98">
        <f t="shared" si="62"/>
        <v>3.4890778562546965</v>
      </c>
      <c r="AJ119" s="97">
        <f t="shared" si="63"/>
        <v>5.9733333333333336</v>
      </c>
      <c r="AK119" s="96">
        <f t="shared" si="64"/>
        <v>8.5704518690837777</v>
      </c>
      <c r="AL119" s="96">
        <f t="shared" si="65"/>
        <v>0.3882666666666667</v>
      </c>
      <c r="AM119" s="96">
        <f t="shared" si="78"/>
        <v>4.8104000000000005</v>
      </c>
      <c r="AN119" s="98">
        <f t="shared" si="66"/>
        <v>5.198666666666667</v>
      </c>
      <c r="AO119" s="97">
        <f t="shared" si="79"/>
        <v>6.5019152168146119E-2</v>
      </c>
      <c r="AP119" s="96">
        <f t="shared" si="54"/>
        <v>0.12150000000000002</v>
      </c>
      <c r="AQ119" s="98">
        <f t="shared" si="67"/>
        <v>8.0999999999999996E-3</v>
      </c>
      <c r="AR119" s="97">
        <f t="shared" si="68"/>
        <v>8.8823636750895094</v>
      </c>
      <c r="AS119" s="96">
        <f t="shared" si="69"/>
        <v>71.680000000000007</v>
      </c>
      <c r="AT119" s="98">
        <f t="shared" si="70"/>
        <v>88.974549318199806</v>
      </c>
    </row>
    <row r="120" spans="17:46" x14ac:dyDescent="0.3">
      <c r="Q120" s="32">
        <v>113</v>
      </c>
      <c r="R120" s="97">
        <f t="shared" si="43"/>
        <v>12</v>
      </c>
      <c r="S120" s="96">
        <f t="shared" si="71"/>
        <v>6.0266666666666673</v>
      </c>
      <c r="T120" s="96">
        <f t="shared" si="45"/>
        <v>18</v>
      </c>
      <c r="U120" s="98">
        <f t="shared" si="72"/>
        <v>4.0177777777777779</v>
      </c>
      <c r="V120" s="97">
        <f t="shared" si="73"/>
        <v>2</v>
      </c>
      <c r="W120" s="96">
        <f t="shared" si="74"/>
        <v>0.4</v>
      </c>
      <c r="X120" s="98">
        <f t="shared" si="75"/>
        <v>0.6</v>
      </c>
      <c r="Y120" s="97">
        <f t="shared" si="55"/>
        <v>2.1818181818181821</v>
      </c>
      <c r="Z120" s="96">
        <f t="shared" si="56"/>
        <v>12.226262626262626</v>
      </c>
      <c r="AA120" s="96">
        <f t="shared" si="57"/>
        <v>4.0668455203610785</v>
      </c>
      <c r="AB120" s="96">
        <v>0</v>
      </c>
      <c r="AC120" s="96">
        <f t="shared" si="58"/>
        <v>0.16539232486480973</v>
      </c>
      <c r="AD120" s="98">
        <f t="shared" si="59"/>
        <v>0.16539232486480973</v>
      </c>
      <c r="AE120" s="97">
        <f t="shared" si="60"/>
        <v>9.6855229629629651</v>
      </c>
      <c r="AF120" s="96">
        <f t="shared" si="61"/>
        <v>4.0668455203610785</v>
      </c>
      <c r="AG120" s="96">
        <f t="shared" si="76"/>
        <v>8.2696162432404866E-2</v>
      </c>
      <c r="AH120" s="96">
        <f t="shared" si="77"/>
        <v>3.4382307367234826</v>
      </c>
      <c r="AI120" s="98">
        <f t="shared" si="62"/>
        <v>3.5209268991558873</v>
      </c>
      <c r="AJ120" s="97">
        <f t="shared" si="63"/>
        <v>6.0266666666666673</v>
      </c>
      <c r="AK120" s="96">
        <f t="shared" si="64"/>
        <v>8.6391941489534716</v>
      </c>
      <c r="AL120" s="96">
        <f t="shared" si="65"/>
        <v>0.39173333333333338</v>
      </c>
      <c r="AM120" s="96">
        <f t="shared" si="78"/>
        <v>4.8104000000000005</v>
      </c>
      <c r="AN120" s="98">
        <f t="shared" si="66"/>
        <v>5.2021333333333342</v>
      </c>
      <c r="AO120" s="97">
        <f t="shared" si="79"/>
        <v>6.6156929945923898E-2</v>
      </c>
      <c r="AP120" s="96">
        <f t="shared" si="54"/>
        <v>0.12150000000000002</v>
      </c>
      <c r="AQ120" s="98">
        <f t="shared" si="67"/>
        <v>8.0999999999999996E-3</v>
      </c>
      <c r="AR120" s="97">
        <f t="shared" si="68"/>
        <v>8.9188171624351451</v>
      </c>
      <c r="AS120" s="96">
        <f t="shared" si="69"/>
        <v>72.320000000000007</v>
      </c>
      <c r="AT120" s="98">
        <f t="shared" si="70"/>
        <v>89.021483234298969</v>
      </c>
    </row>
    <row r="121" spans="17:46" x14ac:dyDescent="0.3">
      <c r="Q121" s="32">
        <v>114</v>
      </c>
      <c r="R121" s="97">
        <f t="shared" si="43"/>
        <v>12</v>
      </c>
      <c r="S121" s="96">
        <f t="shared" si="71"/>
        <v>6.08</v>
      </c>
      <c r="T121" s="96">
        <f t="shared" si="45"/>
        <v>18</v>
      </c>
      <c r="U121" s="98">
        <f t="shared" si="72"/>
        <v>4.0533333333333337</v>
      </c>
      <c r="V121" s="97">
        <f t="shared" si="73"/>
        <v>2</v>
      </c>
      <c r="W121" s="96">
        <f t="shared" si="74"/>
        <v>0.4</v>
      </c>
      <c r="X121" s="98">
        <f t="shared" si="75"/>
        <v>0.6</v>
      </c>
      <c r="Y121" s="97">
        <f t="shared" si="55"/>
        <v>2.1818181818181821</v>
      </c>
      <c r="Z121" s="96">
        <f t="shared" si="56"/>
        <v>12.315151515151515</v>
      </c>
      <c r="AA121" s="96">
        <f t="shared" si="57"/>
        <v>4.1019757832034003</v>
      </c>
      <c r="AB121" s="96">
        <v>0</v>
      </c>
      <c r="AC121" s="96">
        <f t="shared" si="58"/>
        <v>0.16826205325987151</v>
      </c>
      <c r="AD121" s="98">
        <f t="shared" si="59"/>
        <v>0.16826205325987151</v>
      </c>
      <c r="AE121" s="97">
        <f t="shared" si="60"/>
        <v>9.8577066666666688</v>
      </c>
      <c r="AF121" s="96">
        <f t="shared" si="61"/>
        <v>4.1019757832034003</v>
      </c>
      <c r="AG121" s="96">
        <f t="shared" si="76"/>
        <v>8.4131026629935754E-2</v>
      </c>
      <c r="AH121" s="96">
        <f t="shared" si="77"/>
        <v>3.4686575574024516</v>
      </c>
      <c r="AI121" s="98">
        <f t="shared" si="62"/>
        <v>3.5527885840323874</v>
      </c>
      <c r="AJ121" s="97">
        <f t="shared" si="63"/>
        <v>6.08</v>
      </c>
      <c r="AK121" s="96">
        <f t="shared" si="64"/>
        <v>8.707938178916045</v>
      </c>
      <c r="AL121" s="96">
        <f t="shared" si="65"/>
        <v>0.3952</v>
      </c>
      <c r="AM121" s="96">
        <f t="shared" si="78"/>
        <v>4.8104000000000005</v>
      </c>
      <c r="AN121" s="98">
        <f t="shared" si="66"/>
        <v>5.2056000000000004</v>
      </c>
      <c r="AO121" s="97">
        <f t="shared" si="79"/>
        <v>6.7304821303948603E-2</v>
      </c>
      <c r="AP121" s="96">
        <f t="shared" si="54"/>
        <v>0.12150000000000002</v>
      </c>
      <c r="AQ121" s="98">
        <f t="shared" si="67"/>
        <v>8.0999999999999996E-3</v>
      </c>
      <c r="AR121" s="97">
        <f t="shared" si="68"/>
        <v>8.9552934053363362</v>
      </c>
      <c r="AS121" s="96">
        <f t="shared" si="69"/>
        <v>72.960000000000008</v>
      </c>
      <c r="AT121" s="98">
        <f t="shared" si="70"/>
        <v>89.067617250635465</v>
      </c>
    </row>
    <row r="122" spans="17:46" x14ac:dyDescent="0.3">
      <c r="Q122" s="32">
        <v>115</v>
      </c>
      <c r="R122" s="97">
        <f t="shared" si="43"/>
        <v>12</v>
      </c>
      <c r="S122" s="96">
        <f t="shared" si="71"/>
        <v>6.1333333333333337</v>
      </c>
      <c r="T122" s="96">
        <f t="shared" si="45"/>
        <v>18</v>
      </c>
      <c r="U122" s="98">
        <f t="shared" si="72"/>
        <v>4.0888888888888895</v>
      </c>
      <c r="V122" s="97">
        <f t="shared" si="73"/>
        <v>2</v>
      </c>
      <c r="W122" s="96">
        <f t="shared" si="74"/>
        <v>0.4</v>
      </c>
      <c r="X122" s="98">
        <f t="shared" si="75"/>
        <v>0.6</v>
      </c>
      <c r="Y122" s="97">
        <f t="shared" si="55"/>
        <v>2.1818181818181821</v>
      </c>
      <c r="Z122" s="96">
        <f t="shared" si="56"/>
        <v>12.404040404040405</v>
      </c>
      <c r="AA122" s="96">
        <f t="shared" si="57"/>
        <v>4.1371133125109161</v>
      </c>
      <c r="AB122" s="96">
        <v>0</v>
      </c>
      <c r="AC122" s="96">
        <f t="shared" si="58"/>
        <v>0.17115706560555044</v>
      </c>
      <c r="AD122" s="98">
        <f t="shared" si="59"/>
        <v>0.17115706560555044</v>
      </c>
      <c r="AE122" s="97">
        <f t="shared" si="60"/>
        <v>10.031407407407411</v>
      </c>
      <c r="AF122" s="96">
        <f t="shared" si="61"/>
        <v>4.1371133125109161</v>
      </c>
      <c r="AG122" s="96">
        <f t="shared" si="76"/>
        <v>8.557853280277522E-2</v>
      </c>
      <c r="AH122" s="96">
        <f t="shared" si="77"/>
        <v>3.4990843780814207</v>
      </c>
      <c r="AI122" s="98">
        <f t="shared" si="62"/>
        <v>3.5846629108841959</v>
      </c>
      <c r="AJ122" s="97">
        <f t="shared" si="63"/>
        <v>6.1333333333333337</v>
      </c>
      <c r="AK122" s="96">
        <f t="shared" si="64"/>
        <v>8.7766839178482989</v>
      </c>
      <c r="AL122" s="96">
        <f t="shared" si="65"/>
        <v>0.39866666666666672</v>
      </c>
      <c r="AM122" s="96">
        <f t="shared" si="78"/>
        <v>4.8104000000000005</v>
      </c>
      <c r="AN122" s="98">
        <f t="shared" si="66"/>
        <v>5.2090666666666667</v>
      </c>
      <c r="AO122" s="97">
        <f t="shared" si="79"/>
        <v>6.8462826242220179E-2</v>
      </c>
      <c r="AP122" s="96">
        <f t="shared" si="54"/>
        <v>0.12150000000000002</v>
      </c>
      <c r="AQ122" s="98">
        <f t="shared" si="67"/>
        <v>8.0999999999999996E-3</v>
      </c>
      <c r="AR122" s="97">
        <f t="shared" si="68"/>
        <v>8.9917924037930828</v>
      </c>
      <c r="AS122" s="96">
        <f t="shared" si="69"/>
        <v>73.600000000000009</v>
      </c>
      <c r="AT122" s="98">
        <f t="shared" si="70"/>
        <v>89.112970984051273</v>
      </c>
    </row>
    <row r="123" spans="17:46" x14ac:dyDescent="0.3">
      <c r="Q123" s="32">
        <v>116</v>
      </c>
      <c r="R123" s="97">
        <f t="shared" si="43"/>
        <v>12</v>
      </c>
      <c r="S123" s="96">
        <f t="shared" si="71"/>
        <v>6.1866666666666674</v>
      </c>
      <c r="T123" s="96">
        <f t="shared" si="45"/>
        <v>18</v>
      </c>
      <c r="U123" s="98">
        <f t="shared" si="72"/>
        <v>4.1244444444444452</v>
      </c>
      <c r="V123" s="97">
        <f t="shared" si="73"/>
        <v>2</v>
      </c>
      <c r="W123" s="96">
        <f t="shared" si="74"/>
        <v>0.4</v>
      </c>
      <c r="X123" s="98">
        <f t="shared" si="75"/>
        <v>0.6</v>
      </c>
      <c r="Y123" s="97">
        <f t="shared" si="55"/>
        <v>2.1818181818181821</v>
      </c>
      <c r="Z123" s="96">
        <f t="shared" si="56"/>
        <v>12.492929292929295</v>
      </c>
      <c r="AA123" s="96">
        <f t="shared" si="57"/>
        <v>4.1722579246955336</v>
      </c>
      <c r="AB123" s="96">
        <v>0</v>
      </c>
      <c r="AC123" s="96">
        <f t="shared" si="58"/>
        <v>0.17407736190184683</v>
      </c>
      <c r="AD123" s="98">
        <f t="shared" si="59"/>
        <v>0.17407736190184683</v>
      </c>
      <c r="AE123" s="97">
        <f t="shared" si="60"/>
        <v>10.206625185185189</v>
      </c>
      <c r="AF123" s="96">
        <f t="shared" si="61"/>
        <v>4.1722579246955336</v>
      </c>
      <c r="AG123" s="96">
        <f t="shared" si="76"/>
        <v>8.7038680950923417E-2</v>
      </c>
      <c r="AH123" s="96">
        <f t="shared" si="77"/>
        <v>3.5295111987603902</v>
      </c>
      <c r="AI123" s="98">
        <f t="shared" si="62"/>
        <v>3.6165498797113136</v>
      </c>
      <c r="AJ123" s="97">
        <f t="shared" si="63"/>
        <v>6.1866666666666674</v>
      </c>
      <c r="AK123" s="96">
        <f t="shared" si="64"/>
        <v>8.8454313259044479</v>
      </c>
      <c r="AL123" s="96">
        <f t="shared" si="65"/>
        <v>0.4021333333333334</v>
      </c>
      <c r="AM123" s="96">
        <f t="shared" si="78"/>
        <v>4.8104000000000005</v>
      </c>
      <c r="AN123" s="98">
        <f t="shared" si="66"/>
        <v>5.2125333333333339</v>
      </c>
      <c r="AO123" s="97">
        <f t="shared" si="79"/>
        <v>6.9630944760738736E-2</v>
      </c>
      <c r="AP123" s="96">
        <f t="shared" si="54"/>
        <v>0.12150000000000002</v>
      </c>
      <c r="AQ123" s="98">
        <f t="shared" si="67"/>
        <v>8.0999999999999996E-3</v>
      </c>
      <c r="AR123" s="97">
        <f t="shared" si="68"/>
        <v>9.0283141578053865</v>
      </c>
      <c r="AS123" s="96">
        <f t="shared" si="69"/>
        <v>74.240000000000009</v>
      </c>
      <c r="AT123" s="98">
        <f t="shared" si="70"/>
        <v>89.157563415184043</v>
      </c>
    </row>
    <row r="124" spans="17:46" x14ac:dyDescent="0.3">
      <c r="Q124" s="32">
        <v>117</v>
      </c>
      <c r="R124" s="97">
        <f t="shared" si="43"/>
        <v>12</v>
      </c>
      <c r="S124" s="96">
        <f t="shared" si="71"/>
        <v>6.24</v>
      </c>
      <c r="T124" s="96">
        <f t="shared" si="45"/>
        <v>18</v>
      </c>
      <c r="U124" s="98">
        <f t="shared" si="72"/>
        <v>4.16</v>
      </c>
      <c r="V124" s="97">
        <f t="shared" si="73"/>
        <v>2</v>
      </c>
      <c r="W124" s="96">
        <f t="shared" si="74"/>
        <v>0.4</v>
      </c>
      <c r="X124" s="98">
        <f t="shared" si="75"/>
        <v>0.6</v>
      </c>
      <c r="Y124" s="97">
        <f t="shared" si="55"/>
        <v>2.1818181818181821</v>
      </c>
      <c r="Z124" s="96">
        <f t="shared" si="56"/>
        <v>12.581818181818182</v>
      </c>
      <c r="AA124" s="96">
        <f t="shared" si="57"/>
        <v>4.2074094422668251</v>
      </c>
      <c r="AB124" s="96">
        <v>0</v>
      </c>
      <c r="AC124" s="96">
        <f t="shared" si="58"/>
        <v>0.17702294214876038</v>
      </c>
      <c r="AD124" s="98">
        <f t="shared" si="59"/>
        <v>0.17702294214876038</v>
      </c>
      <c r="AE124" s="97">
        <f t="shared" si="60"/>
        <v>10.383360000000001</v>
      </c>
      <c r="AF124" s="96">
        <f t="shared" si="61"/>
        <v>4.2074094422668251</v>
      </c>
      <c r="AG124" s="96">
        <f t="shared" si="76"/>
        <v>8.8511471074380191E-2</v>
      </c>
      <c r="AH124" s="96">
        <f t="shared" si="77"/>
        <v>3.5599380194393579</v>
      </c>
      <c r="AI124" s="98">
        <f t="shared" si="62"/>
        <v>3.6484494905137383</v>
      </c>
      <c r="AJ124" s="97">
        <f t="shared" si="63"/>
        <v>6.24</v>
      </c>
      <c r="AK124" s="96">
        <f t="shared" si="64"/>
        <v>8.9141803644669402</v>
      </c>
      <c r="AL124" s="96">
        <f t="shared" si="65"/>
        <v>0.40560000000000002</v>
      </c>
      <c r="AM124" s="96">
        <f t="shared" si="78"/>
        <v>4.8104000000000005</v>
      </c>
      <c r="AN124" s="98">
        <f t="shared" si="66"/>
        <v>5.2160000000000002</v>
      </c>
      <c r="AO124" s="97">
        <f t="shared" si="79"/>
        <v>7.080917685950415E-2</v>
      </c>
      <c r="AP124" s="96">
        <f t="shared" si="54"/>
        <v>0.12150000000000002</v>
      </c>
      <c r="AQ124" s="98">
        <f t="shared" si="67"/>
        <v>8.0999999999999996E-3</v>
      </c>
      <c r="AR124" s="97">
        <f t="shared" si="68"/>
        <v>9.0648586673732439</v>
      </c>
      <c r="AS124" s="96">
        <f t="shared" si="69"/>
        <v>74.88</v>
      </c>
      <c r="AT124" s="98">
        <f t="shared" si="70"/>
        <v>89.201412914050835</v>
      </c>
    </row>
    <row r="125" spans="17:46" x14ac:dyDescent="0.3">
      <c r="Q125" s="32">
        <v>118</v>
      </c>
      <c r="R125" s="97">
        <f t="shared" si="43"/>
        <v>12</v>
      </c>
      <c r="S125" s="96">
        <f t="shared" si="71"/>
        <v>6.2933333333333339</v>
      </c>
      <c r="T125" s="96">
        <f t="shared" si="45"/>
        <v>18</v>
      </c>
      <c r="U125" s="98">
        <f t="shared" si="72"/>
        <v>4.1955555555555559</v>
      </c>
      <c r="V125" s="97">
        <f t="shared" si="73"/>
        <v>2</v>
      </c>
      <c r="W125" s="96">
        <f t="shared" si="74"/>
        <v>0.4</v>
      </c>
      <c r="X125" s="98">
        <f t="shared" si="75"/>
        <v>0.6</v>
      </c>
      <c r="Y125" s="97">
        <f t="shared" si="55"/>
        <v>2.1818181818181821</v>
      </c>
      <c r="Z125" s="96">
        <f t="shared" si="56"/>
        <v>12.670707070707072</v>
      </c>
      <c r="AA125" s="96">
        <f t="shared" si="57"/>
        <v>4.2425676935824042</v>
      </c>
      <c r="AB125" s="96">
        <v>0</v>
      </c>
      <c r="AC125" s="96">
        <f t="shared" si="58"/>
        <v>0.1799938063462912</v>
      </c>
      <c r="AD125" s="98">
        <f t="shared" si="59"/>
        <v>0.1799938063462912</v>
      </c>
      <c r="AE125" s="97">
        <f t="shared" si="60"/>
        <v>10.561611851851854</v>
      </c>
      <c r="AF125" s="96">
        <f t="shared" si="61"/>
        <v>4.2425676935824042</v>
      </c>
      <c r="AG125" s="96">
        <f t="shared" si="76"/>
        <v>8.9996903173145598E-2</v>
      </c>
      <c r="AH125" s="96">
        <f t="shared" si="77"/>
        <v>3.5903648401183279</v>
      </c>
      <c r="AI125" s="98">
        <f t="shared" si="62"/>
        <v>3.6803617432914737</v>
      </c>
      <c r="AJ125" s="97">
        <f t="shared" si="63"/>
        <v>6.2933333333333339</v>
      </c>
      <c r="AK125" s="96">
        <f t="shared" si="64"/>
        <v>8.9829309960995278</v>
      </c>
      <c r="AL125" s="96">
        <f t="shared" si="65"/>
        <v>0.40906666666666669</v>
      </c>
      <c r="AM125" s="96">
        <f t="shared" si="78"/>
        <v>4.8104000000000005</v>
      </c>
      <c r="AN125" s="98">
        <f t="shared" si="66"/>
        <v>5.2194666666666674</v>
      </c>
      <c r="AO125" s="97">
        <f t="shared" si="79"/>
        <v>7.1997522538516476E-2</v>
      </c>
      <c r="AP125" s="96">
        <f t="shared" si="54"/>
        <v>0.12150000000000002</v>
      </c>
      <c r="AQ125" s="98">
        <f t="shared" si="67"/>
        <v>8.0999999999999996E-3</v>
      </c>
      <c r="AR125" s="97">
        <f t="shared" si="68"/>
        <v>9.1014259324966567</v>
      </c>
      <c r="AS125" s="96">
        <f t="shared" si="69"/>
        <v>75.52000000000001</v>
      </c>
      <c r="AT125" s="98">
        <f t="shared" si="70"/>
        <v>89.244537264407541</v>
      </c>
    </row>
    <row r="126" spans="17:46" x14ac:dyDescent="0.3">
      <c r="Q126" s="32">
        <v>119</v>
      </c>
      <c r="R126" s="97">
        <f t="shared" si="43"/>
        <v>12</v>
      </c>
      <c r="S126" s="96">
        <f t="shared" si="71"/>
        <v>6.3466666666666667</v>
      </c>
      <c r="T126" s="96">
        <f t="shared" si="45"/>
        <v>18</v>
      </c>
      <c r="U126" s="98">
        <f t="shared" si="72"/>
        <v>4.2311111111111108</v>
      </c>
      <c r="V126" s="97">
        <f t="shared" si="73"/>
        <v>2</v>
      </c>
      <c r="W126" s="96">
        <f t="shared" si="74"/>
        <v>0.4</v>
      </c>
      <c r="X126" s="98">
        <f t="shared" si="75"/>
        <v>0.6</v>
      </c>
      <c r="Y126" s="97">
        <f t="shared" si="55"/>
        <v>2.1818181818181821</v>
      </c>
      <c r="Z126" s="96">
        <f t="shared" si="56"/>
        <v>12.759595959595959</v>
      </c>
      <c r="AA126" s="96">
        <f t="shared" si="57"/>
        <v>4.277732512610382</v>
      </c>
      <c r="AB126" s="96">
        <v>0</v>
      </c>
      <c r="AC126" s="96">
        <f t="shared" si="58"/>
        <v>0.18298995449443933</v>
      </c>
      <c r="AD126" s="98">
        <f t="shared" si="59"/>
        <v>0.18298995449443933</v>
      </c>
      <c r="AE126" s="97">
        <f t="shared" si="60"/>
        <v>10.741380740740741</v>
      </c>
      <c r="AF126" s="96">
        <f t="shared" si="61"/>
        <v>4.277732512610382</v>
      </c>
      <c r="AG126" s="96">
        <f t="shared" si="76"/>
        <v>9.1494977247219667E-2</v>
      </c>
      <c r="AH126" s="96">
        <f t="shared" si="77"/>
        <v>3.6207916607972956</v>
      </c>
      <c r="AI126" s="98">
        <f t="shared" si="62"/>
        <v>3.7122866380445152</v>
      </c>
      <c r="AJ126" s="97">
        <f t="shared" si="63"/>
        <v>6.3466666666666667</v>
      </c>
      <c r="AK126" s="96">
        <f t="shared" si="64"/>
        <v>9.0516831845024726</v>
      </c>
      <c r="AL126" s="96">
        <f t="shared" si="65"/>
        <v>0.41253333333333336</v>
      </c>
      <c r="AM126" s="96">
        <f t="shared" si="78"/>
        <v>4.8104000000000005</v>
      </c>
      <c r="AN126" s="98">
        <f t="shared" si="66"/>
        <v>5.2229333333333336</v>
      </c>
      <c r="AO126" s="97">
        <f t="shared" si="79"/>
        <v>7.3195981797775728E-2</v>
      </c>
      <c r="AP126" s="96">
        <f t="shared" si="54"/>
        <v>0.12150000000000002</v>
      </c>
      <c r="AQ126" s="98">
        <f t="shared" si="67"/>
        <v>8.0999999999999996E-3</v>
      </c>
      <c r="AR126" s="97">
        <f t="shared" si="68"/>
        <v>9.1380159531756249</v>
      </c>
      <c r="AS126" s="96">
        <f t="shared" si="69"/>
        <v>76.16</v>
      </c>
      <c r="AT126" s="98">
        <f t="shared" si="70"/>
        <v>89.286953686951009</v>
      </c>
    </row>
    <row r="127" spans="17:46" x14ac:dyDescent="0.3">
      <c r="Q127" s="32">
        <v>120</v>
      </c>
      <c r="R127" s="97">
        <f t="shared" si="43"/>
        <v>12</v>
      </c>
      <c r="S127" s="96">
        <f t="shared" si="71"/>
        <v>6.4</v>
      </c>
      <c r="T127" s="96">
        <f t="shared" si="45"/>
        <v>18</v>
      </c>
      <c r="U127" s="98">
        <f t="shared" si="72"/>
        <v>4.2666666666666675</v>
      </c>
      <c r="V127" s="97">
        <f t="shared" si="73"/>
        <v>2</v>
      </c>
      <c r="W127" s="96">
        <f t="shared" si="74"/>
        <v>0.4</v>
      </c>
      <c r="X127" s="98">
        <f t="shared" si="75"/>
        <v>0.6</v>
      </c>
      <c r="Y127" s="97">
        <f t="shared" si="55"/>
        <v>2.1818181818181821</v>
      </c>
      <c r="Z127" s="96">
        <f t="shared" si="56"/>
        <v>12.84848484848485</v>
      </c>
      <c r="AA127" s="96">
        <f t="shared" si="57"/>
        <v>4.3129037387032509</v>
      </c>
      <c r="AB127" s="96">
        <v>0</v>
      </c>
      <c r="AC127" s="96">
        <f t="shared" si="58"/>
        <v>0.18601138659320479</v>
      </c>
      <c r="AD127" s="98">
        <f t="shared" si="59"/>
        <v>0.18601138659320479</v>
      </c>
      <c r="AE127" s="97">
        <f t="shared" si="60"/>
        <v>10.92266666666667</v>
      </c>
      <c r="AF127" s="96">
        <f t="shared" si="61"/>
        <v>4.3129037387032509</v>
      </c>
      <c r="AG127" s="96">
        <f t="shared" si="76"/>
        <v>9.3005693296602396E-2</v>
      </c>
      <c r="AH127" s="96">
        <f t="shared" si="77"/>
        <v>3.6512184814762656</v>
      </c>
      <c r="AI127" s="98">
        <f t="shared" si="62"/>
        <v>3.7442241747728682</v>
      </c>
      <c r="AJ127" s="97">
        <f t="shared" si="63"/>
        <v>6.4</v>
      </c>
      <c r="AK127" s="96">
        <f t="shared" si="64"/>
        <v>9.120436894469778</v>
      </c>
      <c r="AL127" s="96">
        <f t="shared" si="65"/>
        <v>0.41600000000000004</v>
      </c>
      <c r="AM127" s="96">
        <f t="shared" si="78"/>
        <v>4.8104000000000005</v>
      </c>
      <c r="AN127" s="98">
        <f t="shared" si="66"/>
        <v>5.2264000000000008</v>
      </c>
      <c r="AO127" s="97">
        <f t="shared" si="79"/>
        <v>7.4404554637281919E-2</v>
      </c>
      <c r="AP127" s="96">
        <f t="shared" si="54"/>
        <v>0.12150000000000002</v>
      </c>
      <c r="AQ127" s="98">
        <f t="shared" si="67"/>
        <v>8.0999999999999996E-3</v>
      </c>
      <c r="AR127" s="97">
        <f t="shared" si="68"/>
        <v>9.1746287294101521</v>
      </c>
      <c r="AS127" s="96">
        <f t="shared" si="69"/>
        <v>76.800000000000011</v>
      </c>
      <c r="AT127" s="98">
        <f t="shared" si="70"/>
        <v>89.328678861428216</v>
      </c>
    </row>
    <row r="128" spans="17:46" x14ac:dyDescent="0.3">
      <c r="Q128" s="32">
        <v>121</v>
      </c>
      <c r="R128" s="97">
        <f t="shared" si="43"/>
        <v>12</v>
      </c>
      <c r="S128" s="96">
        <f t="shared" si="71"/>
        <v>6.453333333333334</v>
      </c>
      <c r="T128" s="96">
        <f t="shared" si="45"/>
        <v>18</v>
      </c>
      <c r="U128" s="98">
        <f t="shared" si="72"/>
        <v>4.3022222222222233</v>
      </c>
      <c r="V128" s="97">
        <f t="shared" si="73"/>
        <v>2</v>
      </c>
      <c r="W128" s="96">
        <f t="shared" si="74"/>
        <v>0.4</v>
      </c>
      <c r="X128" s="98">
        <f t="shared" si="75"/>
        <v>0.6</v>
      </c>
      <c r="Y128" s="97">
        <f t="shared" si="55"/>
        <v>2.1818181818181821</v>
      </c>
      <c r="Z128" s="96">
        <f t="shared" si="56"/>
        <v>12.937373737373738</v>
      </c>
      <c r="AA128" s="96">
        <f t="shared" si="57"/>
        <v>4.3480812163825506</v>
      </c>
      <c r="AB128" s="96">
        <v>0</v>
      </c>
      <c r="AC128" s="96">
        <f t="shared" si="58"/>
        <v>0.18905810264258763</v>
      </c>
      <c r="AD128" s="98">
        <f t="shared" si="59"/>
        <v>0.18905810264258763</v>
      </c>
      <c r="AE128" s="97">
        <f t="shared" si="60"/>
        <v>11.105469629629635</v>
      </c>
      <c r="AF128" s="96">
        <f t="shared" si="61"/>
        <v>4.3480812163825506</v>
      </c>
      <c r="AG128" s="96">
        <f t="shared" si="76"/>
        <v>9.4529051321293814E-2</v>
      </c>
      <c r="AH128" s="96">
        <f t="shared" si="77"/>
        <v>3.6816453021552338</v>
      </c>
      <c r="AI128" s="98">
        <f t="shared" si="62"/>
        <v>3.7761743534765277</v>
      </c>
      <c r="AJ128" s="97">
        <f t="shared" si="63"/>
        <v>6.453333333333334</v>
      </c>
      <c r="AK128" s="96">
        <f t="shared" si="64"/>
        <v>9.1891920918483194</v>
      </c>
      <c r="AL128" s="96">
        <f t="shared" si="65"/>
        <v>0.41946666666666671</v>
      </c>
      <c r="AM128" s="96">
        <f t="shared" si="78"/>
        <v>4.8104000000000005</v>
      </c>
      <c r="AN128" s="98">
        <f t="shared" si="66"/>
        <v>5.2298666666666671</v>
      </c>
      <c r="AO128" s="97">
        <f t="shared" si="79"/>
        <v>7.5623241057035051E-2</v>
      </c>
      <c r="AP128" s="96">
        <f t="shared" si="54"/>
        <v>0.12150000000000002</v>
      </c>
      <c r="AQ128" s="98">
        <f t="shared" si="67"/>
        <v>8.0999999999999996E-3</v>
      </c>
      <c r="AR128" s="97">
        <f t="shared" si="68"/>
        <v>9.2112642612002293</v>
      </c>
      <c r="AS128" s="96">
        <f t="shared" si="69"/>
        <v>77.440000000000012</v>
      </c>
      <c r="AT128" s="98">
        <f t="shared" si="70"/>
        <v>89.369728947711678</v>
      </c>
    </row>
    <row r="129" spans="17:46" x14ac:dyDescent="0.3">
      <c r="Q129" s="32">
        <v>122</v>
      </c>
      <c r="R129" s="97">
        <f t="shared" si="43"/>
        <v>12</v>
      </c>
      <c r="S129" s="96">
        <f t="shared" si="71"/>
        <v>6.5066666666666668</v>
      </c>
      <c r="T129" s="96">
        <f t="shared" si="45"/>
        <v>18</v>
      </c>
      <c r="U129" s="98">
        <f t="shared" si="72"/>
        <v>4.3377777777777773</v>
      </c>
      <c r="V129" s="97">
        <f t="shared" si="73"/>
        <v>2</v>
      </c>
      <c r="W129" s="96">
        <f t="shared" si="74"/>
        <v>0.4</v>
      </c>
      <c r="X129" s="98">
        <f t="shared" si="75"/>
        <v>0.6</v>
      </c>
      <c r="Y129" s="97">
        <f t="shared" si="55"/>
        <v>2.1818181818181821</v>
      </c>
      <c r="Z129" s="96">
        <f t="shared" si="56"/>
        <v>13.026262626262627</v>
      </c>
      <c r="AA129" s="96">
        <f t="shared" si="57"/>
        <v>4.3832647951337309</v>
      </c>
      <c r="AB129" s="96">
        <v>0</v>
      </c>
      <c r="AC129" s="96">
        <f t="shared" si="58"/>
        <v>0.19213010264258748</v>
      </c>
      <c r="AD129" s="98">
        <f t="shared" si="59"/>
        <v>0.19213010264258748</v>
      </c>
      <c r="AE129" s="97">
        <f t="shared" si="60"/>
        <v>11.289789629629629</v>
      </c>
      <c r="AF129" s="96">
        <f t="shared" si="61"/>
        <v>4.3832647951337309</v>
      </c>
      <c r="AG129" s="96">
        <f t="shared" si="76"/>
        <v>9.606505132129374E-2</v>
      </c>
      <c r="AH129" s="96">
        <f t="shared" si="77"/>
        <v>3.7120721228342028</v>
      </c>
      <c r="AI129" s="98">
        <f t="shared" si="62"/>
        <v>3.8081371741554966</v>
      </c>
      <c r="AJ129" s="97">
        <f t="shared" si="63"/>
        <v>6.5066666666666668</v>
      </c>
      <c r="AK129" s="96">
        <f t="shared" si="64"/>
        <v>9.2579487434988152</v>
      </c>
      <c r="AL129" s="96">
        <f t="shared" si="65"/>
        <v>0.42293333333333338</v>
      </c>
      <c r="AM129" s="96">
        <f t="shared" si="78"/>
        <v>4.8104000000000005</v>
      </c>
      <c r="AN129" s="98">
        <f t="shared" si="66"/>
        <v>5.2333333333333343</v>
      </c>
      <c r="AO129" s="97">
        <f t="shared" si="79"/>
        <v>7.6852041057034998E-2</v>
      </c>
      <c r="AP129" s="96">
        <f t="shared" si="54"/>
        <v>0.12150000000000002</v>
      </c>
      <c r="AQ129" s="98">
        <f t="shared" si="67"/>
        <v>8.0999999999999996E-3</v>
      </c>
      <c r="AR129" s="97">
        <f t="shared" si="68"/>
        <v>9.2479225485458656</v>
      </c>
      <c r="AS129" s="96">
        <f t="shared" si="69"/>
        <v>78.08</v>
      </c>
      <c r="AT129" s="98">
        <f t="shared" si="70"/>
        <v>89.410119605897037</v>
      </c>
    </row>
    <row r="130" spans="17:46" x14ac:dyDescent="0.3">
      <c r="Q130" s="32">
        <v>123</v>
      </c>
      <c r="R130" s="97">
        <f t="shared" si="43"/>
        <v>12</v>
      </c>
      <c r="S130" s="96">
        <f t="shared" si="71"/>
        <v>6.5600000000000005</v>
      </c>
      <c r="T130" s="96">
        <f t="shared" si="45"/>
        <v>18</v>
      </c>
      <c r="U130" s="98">
        <f t="shared" si="72"/>
        <v>4.3733333333333331</v>
      </c>
      <c r="V130" s="97">
        <f t="shared" si="73"/>
        <v>2</v>
      </c>
      <c r="W130" s="96">
        <f t="shared" si="74"/>
        <v>0.4</v>
      </c>
      <c r="X130" s="98">
        <f t="shared" si="75"/>
        <v>0.6</v>
      </c>
      <c r="Y130" s="97">
        <f t="shared" si="55"/>
        <v>2.1818181818181821</v>
      </c>
      <c r="Z130" s="96">
        <f t="shared" si="56"/>
        <v>13.115151515151515</v>
      </c>
      <c r="AA130" s="96">
        <f t="shared" si="57"/>
        <v>4.4184543292106655</v>
      </c>
      <c r="AB130" s="96">
        <v>0</v>
      </c>
      <c r="AC130" s="96">
        <f t="shared" si="58"/>
        <v>0.19522738659320471</v>
      </c>
      <c r="AD130" s="98">
        <f t="shared" si="59"/>
        <v>0.19522738659320471</v>
      </c>
      <c r="AE130" s="97">
        <f t="shared" si="60"/>
        <v>11.475626666666667</v>
      </c>
      <c r="AF130" s="96">
        <f t="shared" si="61"/>
        <v>4.4184543292106655</v>
      </c>
      <c r="AG130" s="96">
        <f t="shared" si="76"/>
        <v>9.7613693296602355E-2</v>
      </c>
      <c r="AH130" s="96">
        <f t="shared" si="77"/>
        <v>3.7424989435131715</v>
      </c>
      <c r="AI130" s="98">
        <f t="shared" si="62"/>
        <v>3.8401126368097738</v>
      </c>
      <c r="AJ130" s="97">
        <f t="shared" si="63"/>
        <v>6.5600000000000005</v>
      </c>
      <c r="AK130" s="96">
        <f t="shared" si="64"/>
        <v>9.326706817258513</v>
      </c>
      <c r="AL130" s="96">
        <f t="shared" si="65"/>
        <v>0.42640000000000006</v>
      </c>
      <c r="AM130" s="96">
        <f t="shared" si="78"/>
        <v>4.8104000000000005</v>
      </c>
      <c r="AN130" s="98">
        <f t="shared" si="66"/>
        <v>5.2368000000000006</v>
      </c>
      <c r="AO130" s="97">
        <f t="shared" si="79"/>
        <v>7.8090954637281884E-2</v>
      </c>
      <c r="AP130" s="96">
        <f t="shared" si="54"/>
        <v>0.12150000000000002</v>
      </c>
      <c r="AQ130" s="98">
        <f t="shared" si="67"/>
        <v>8.0999999999999996E-3</v>
      </c>
      <c r="AR130" s="97">
        <f t="shared" si="68"/>
        <v>9.2846035914470555</v>
      </c>
      <c r="AS130" s="96">
        <f t="shared" si="69"/>
        <v>78.72</v>
      </c>
      <c r="AT130" s="98">
        <f t="shared" si="70"/>
        <v>89.449866015475806</v>
      </c>
    </row>
    <row r="131" spans="17:46" x14ac:dyDescent="0.3">
      <c r="Q131" s="32">
        <v>124</v>
      </c>
      <c r="R131" s="97">
        <f t="shared" si="43"/>
        <v>12</v>
      </c>
      <c r="S131" s="96">
        <f t="shared" si="71"/>
        <v>6.6133333333333342</v>
      </c>
      <c r="T131" s="96">
        <f t="shared" si="45"/>
        <v>18</v>
      </c>
      <c r="U131" s="98">
        <f t="shared" si="72"/>
        <v>4.4088888888888897</v>
      </c>
      <c r="V131" s="97">
        <f t="shared" si="73"/>
        <v>2</v>
      </c>
      <c r="W131" s="96">
        <f t="shared" si="74"/>
        <v>0.4</v>
      </c>
      <c r="X131" s="98">
        <f t="shared" si="75"/>
        <v>0.6</v>
      </c>
      <c r="Y131" s="97">
        <f t="shared" si="55"/>
        <v>2.1818181818181821</v>
      </c>
      <c r="Z131" s="96">
        <f t="shared" si="56"/>
        <v>13.204040404040406</v>
      </c>
      <c r="AA131" s="96">
        <f t="shared" si="57"/>
        <v>4.4536496774492651</v>
      </c>
      <c r="AB131" s="96">
        <v>0</v>
      </c>
      <c r="AC131" s="96">
        <f t="shared" si="58"/>
        <v>0.19834995449443946</v>
      </c>
      <c r="AD131" s="98">
        <f t="shared" si="59"/>
        <v>0.19834995449443946</v>
      </c>
      <c r="AE131" s="97">
        <f t="shared" si="60"/>
        <v>11.662980740740744</v>
      </c>
      <c r="AF131" s="96">
        <f t="shared" si="61"/>
        <v>4.4536496774492651</v>
      </c>
      <c r="AG131" s="96">
        <f t="shared" si="76"/>
        <v>9.9174977247219728E-2</v>
      </c>
      <c r="AH131" s="96">
        <f t="shared" si="77"/>
        <v>3.772925764192141</v>
      </c>
      <c r="AI131" s="98">
        <f t="shared" si="62"/>
        <v>3.8721007414393607</v>
      </c>
      <c r="AJ131" s="97">
        <f t="shared" si="63"/>
        <v>6.6133333333333342</v>
      </c>
      <c r="AK131" s="96">
        <f t="shared" si="64"/>
        <v>9.3954662819054935</v>
      </c>
      <c r="AL131" s="96">
        <f t="shared" si="65"/>
        <v>0.42986666666666673</v>
      </c>
      <c r="AM131" s="96">
        <f t="shared" si="78"/>
        <v>4.8104000000000005</v>
      </c>
      <c r="AN131" s="98">
        <f t="shared" si="66"/>
        <v>5.2402666666666669</v>
      </c>
      <c r="AO131" s="97">
        <f t="shared" si="79"/>
        <v>7.933998179777578E-2</v>
      </c>
      <c r="AP131" s="96">
        <f t="shared" si="54"/>
        <v>0.12150000000000002</v>
      </c>
      <c r="AQ131" s="98">
        <f t="shared" si="67"/>
        <v>8.0999999999999996E-3</v>
      </c>
      <c r="AR131" s="97">
        <f t="shared" si="68"/>
        <v>9.3213073899038026</v>
      </c>
      <c r="AS131" s="96">
        <f t="shared" si="69"/>
        <v>79.360000000000014</v>
      </c>
      <c r="AT131" s="98">
        <f t="shared" si="70"/>
        <v>89.488982893631743</v>
      </c>
    </row>
    <row r="132" spans="17:46" x14ac:dyDescent="0.3">
      <c r="Q132" s="32">
        <v>125</v>
      </c>
      <c r="R132" s="97">
        <f t="shared" si="43"/>
        <v>12</v>
      </c>
      <c r="S132" s="96">
        <f t="shared" si="71"/>
        <v>6.666666666666667</v>
      </c>
      <c r="T132" s="96">
        <f t="shared" si="45"/>
        <v>18</v>
      </c>
      <c r="U132" s="98">
        <f t="shared" si="72"/>
        <v>4.4444444444444446</v>
      </c>
      <c r="V132" s="97">
        <f t="shared" si="73"/>
        <v>2</v>
      </c>
      <c r="W132" s="96">
        <f t="shared" si="74"/>
        <v>0.4</v>
      </c>
      <c r="X132" s="98">
        <f t="shared" si="75"/>
        <v>0.6</v>
      </c>
      <c r="Y132" s="97">
        <f t="shared" si="55"/>
        <v>2.1818181818181821</v>
      </c>
      <c r="Z132" s="96">
        <f t="shared" si="56"/>
        <v>13.292929292929292</v>
      </c>
      <c r="AA132" s="96">
        <f t="shared" si="57"/>
        <v>4.4888507030897253</v>
      </c>
      <c r="AB132" s="96">
        <v>0</v>
      </c>
      <c r="AC132" s="96">
        <f t="shared" si="58"/>
        <v>0.20149780634629122</v>
      </c>
      <c r="AD132" s="98">
        <f t="shared" si="59"/>
        <v>0.20149780634629122</v>
      </c>
      <c r="AE132" s="97">
        <f t="shared" si="60"/>
        <v>11.851851851851855</v>
      </c>
      <c r="AF132" s="96">
        <f t="shared" si="61"/>
        <v>4.4888507030897253</v>
      </c>
      <c r="AG132" s="96">
        <f t="shared" si="76"/>
        <v>0.10074890317314561</v>
      </c>
      <c r="AH132" s="96">
        <f t="shared" si="77"/>
        <v>3.8033525848711087</v>
      </c>
      <c r="AI132" s="98">
        <f t="shared" si="62"/>
        <v>3.9041014880442542</v>
      </c>
      <c r="AJ132" s="97">
        <f t="shared" si="63"/>
        <v>6.666666666666667</v>
      </c>
      <c r="AK132" s="96">
        <f t="shared" si="64"/>
        <v>9.4642271071245485</v>
      </c>
      <c r="AL132" s="96">
        <f t="shared" si="65"/>
        <v>0.43333333333333335</v>
      </c>
      <c r="AM132" s="96">
        <f t="shared" si="78"/>
        <v>4.8104000000000005</v>
      </c>
      <c r="AN132" s="98">
        <f t="shared" si="66"/>
        <v>5.243733333333334</v>
      </c>
      <c r="AO132" s="97">
        <f t="shared" si="79"/>
        <v>8.0599122538516491E-2</v>
      </c>
      <c r="AP132" s="96">
        <f t="shared" si="54"/>
        <v>0.12150000000000002</v>
      </c>
      <c r="AQ132" s="98">
        <f t="shared" si="67"/>
        <v>8.0999999999999996E-3</v>
      </c>
      <c r="AR132" s="97">
        <f t="shared" si="68"/>
        <v>9.3580339439161051</v>
      </c>
      <c r="AS132" s="96">
        <f t="shared" si="69"/>
        <v>80</v>
      </c>
      <c r="AT132" s="98">
        <f t="shared" si="70"/>
        <v>89.527484512708185</v>
      </c>
    </row>
    <row r="133" spans="17:46" x14ac:dyDescent="0.3">
      <c r="Q133" s="32">
        <v>126</v>
      </c>
      <c r="R133" s="97">
        <f t="shared" si="43"/>
        <v>12</v>
      </c>
      <c r="S133" s="96">
        <f t="shared" si="71"/>
        <v>6.7200000000000006</v>
      </c>
      <c r="T133" s="96">
        <f t="shared" si="45"/>
        <v>18</v>
      </c>
      <c r="U133" s="98">
        <f t="shared" si="72"/>
        <v>4.4800000000000004</v>
      </c>
      <c r="V133" s="97">
        <f t="shared" si="73"/>
        <v>2</v>
      </c>
      <c r="W133" s="96">
        <f t="shared" si="74"/>
        <v>0.4</v>
      </c>
      <c r="X133" s="98">
        <f t="shared" si="75"/>
        <v>0.6</v>
      </c>
      <c r="Y133" s="97">
        <f t="shared" si="55"/>
        <v>2.1818181818181821</v>
      </c>
      <c r="Z133" s="96">
        <f t="shared" si="56"/>
        <v>13.381818181818183</v>
      </c>
      <c r="AA133" s="96">
        <f t="shared" si="57"/>
        <v>4.5240572736069593</v>
      </c>
      <c r="AB133" s="96">
        <v>0</v>
      </c>
      <c r="AC133" s="96">
        <f t="shared" si="58"/>
        <v>0.20467094214876036</v>
      </c>
      <c r="AD133" s="98">
        <f t="shared" si="59"/>
        <v>0.20467094214876036</v>
      </c>
      <c r="AE133" s="97">
        <f t="shared" si="60"/>
        <v>12.042240000000003</v>
      </c>
      <c r="AF133" s="96">
        <f t="shared" si="61"/>
        <v>4.5240572736069593</v>
      </c>
      <c r="AG133" s="96">
        <f t="shared" si="76"/>
        <v>0.10233547107438018</v>
      </c>
      <c r="AH133" s="96">
        <f t="shared" si="77"/>
        <v>3.8337794055500787</v>
      </c>
      <c r="AI133" s="98">
        <f t="shared" si="62"/>
        <v>3.9361148766244587</v>
      </c>
      <c r="AJ133" s="97">
        <f t="shared" si="63"/>
        <v>6.7200000000000006</v>
      </c>
      <c r="AK133" s="96">
        <f t="shared" si="64"/>
        <v>9.5329892634745317</v>
      </c>
      <c r="AL133" s="96">
        <f t="shared" si="65"/>
        <v>0.43680000000000008</v>
      </c>
      <c r="AM133" s="96">
        <f t="shared" si="78"/>
        <v>4.8104000000000005</v>
      </c>
      <c r="AN133" s="98">
        <f t="shared" si="66"/>
        <v>5.2472000000000003</v>
      </c>
      <c r="AO133" s="97">
        <f t="shared" si="79"/>
        <v>8.1868376859504141E-2</v>
      </c>
      <c r="AP133" s="96">
        <f t="shared" si="54"/>
        <v>0.12150000000000002</v>
      </c>
      <c r="AQ133" s="98">
        <f t="shared" si="67"/>
        <v>8.0999999999999996E-3</v>
      </c>
      <c r="AR133" s="97">
        <f t="shared" si="68"/>
        <v>9.394783253483963</v>
      </c>
      <c r="AS133" s="96">
        <f t="shared" si="69"/>
        <v>80.640000000000015</v>
      </c>
      <c r="AT133" s="98">
        <f t="shared" si="70"/>
        <v>89.565384716888929</v>
      </c>
    </row>
    <row r="134" spans="17:46" x14ac:dyDescent="0.3">
      <c r="Q134" s="32">
        <v>127</v>
      </c>
      <c r="R134" s="97">
        <f t="shared" si="43"/>
        <v>12</v>
      </c>
      <c r="S134" s="96">
        <f t="shared" si="71"/>
        <v>6.7733333333333334</v>
      </c>
      <c r="T134" s="96">
        <f t="shared" si="45"/>
        <v>18</v>
      </c>
      <c r="U134" s="98">
        <f t="shared" si="72"/>
        <v>4.5155555555555553</v>
      </c>
      <c r="V134" s="97">
        <f t="shared" si="73"/>
        <v>2</v>
      </c>
      <c r="W134" s="96">
        <f t="shared" si="74"/>
        <v>0.4</v>
      </c>
      <c r="X134" s="98">
        <f t="shared" si="75"/>
        <v>0.6</v>
      </c>
      <c r="Y134" s="97">
        <f t="shared" si="55"/>
        <v>2.1818181818181821</v>
      </c>
      <c r="Z134" s="96">
        <f t="shared" si="56"/>
        <v>13.47070707070707</v>
      </c>
      <c r="AA134" s="96">
        <f t="shared" si="57"/>
        <v>4.5592692605487422</v>
      </c>
      <c r="AB134" s="96">
        <v>0</v>
      </c>
      <c r="AC134" s="96">
        <f t="shared" si="58"/>
        <v>0.20786936190184674</v>
      </c>
      <c r="AD134" s="98">
        <f t="shared" si="59"/>
        <v>0.20786936190184674</v>
      </c>
      <c r="AE134" s="97">
        <f t="shared" si="60"/>
        <v>12.234145185185184</v>
      </c>
      <c r="AF134" s="96">
        <f t="shared" si="61"/>
        <v>4.5592692605487422</v>
      </c>
      <c r="AG134" s="96">
        <f t="shared" si="76"/>
        <v>0.10393468095092337</v>
      </c>
      <c r="AH134" s="96">
        <f t="shared" si="77"/>
        <v>3.8642062262290464</v>
      </c>
      <c r="AI134" s="98">
        <f t="shared" si="62"/>
        <v>3.9681409071799698</v>
      </c>
      <c r="AJ134" s="97">
        <f t="shared" si="63"/>
        <v>6.7733333333333334</v>
      </c>
      <c r="AK134" s="96">
        <f t="shared" si="64"/>
        <v>9.6017527223570855</v>
      </c>
      <c r="AL134" s="96">
        <f t="shared" si="65"/>
        <v>0.4402666666666667</v>
      </c>
      <c r="AM134" s="96">
        <f t="shared" si="78"/>
        <v>4.8104000000000005</v>
      </c>
      <c r="AN134" s="98">
        <f t="shared" si="66"/>
        <v>5.2506666666666675</v>
      </c>
      <c r="AO134" s="97">
        <f t="shared" si="79"/>
        <v>8.314774476073869E-2</v>
      </c>
      <c r="AP134" s="96">
        <f t="shared" si="54"/>
        <v>0.12150000000000002</v>
      </c>
      <c r="AQ134" s="98">
        <f t="shared" si="67"/>
        <v>8.0999999999999996E-3</v>
      </c>
      <c r="AR134" s="97">
        <f t="shared" si="68"/>
        <v>9.4315553186073764</v>
      </c>
      <c r="AS134" s="96">
        <f t="shared" si="69"/>
        <v>81.28</v>
      </c>
      <c r="AT134" s="98">
        <f t="shared" si="70"/>
        <v>89.602696938134514</v>
      </c>
    </row>
    <row r="135" spans="17:46" x14ac:dyDescent="0.3">
      <c r="Q135" s="32">
        <v>128</v>
      </c>
      <c r="R135" s="97">
        <f t="shared" ref="R135:R157" si="80">VOUT</f>
        <v>12</v>
      </c>
      <c r="S135" s="96">
        <f t="shared" ref="S135:S157" si="81">Q135*$O$12</f>
        <v>6.8266666666666671</v>
      </c>
      <c r="T135" s="96">
        <f t="shared" ref="T135:T157" si="82">VIN_var</f>
        <v>18</v>
      </c>
      <c r="U135" s="98">
        <f t="shared" ref="U135:U157" si="83">(R135*S135)/(T135*EFF_est)</f>
        <v>4.5511111111111111</v>
      </c>
      <c r="V135" s="97">
        <f t="shared" ref="V135:V157" si="84">IF(S135&lt;((T135^2)*R135)/(2*Fsw*Lm*((T135+R135)^2)),1,2)</f>
        <v>2</v>
      </c>
      <c r="W135" s="96">
        <f t="shared" ref="W135:W157" si="85">CHOOSE(V135,SQRT(2*Lm*R135*S135*Fsw)/T135,R135/(T135+R135))</f>
        <v>0.4</v>
      </c>
      <c r="X135" s="98">
        <f t="shared" ref="X135:X157" si="86">CHOOSE(V135,(Lm*Z135*Fsw)/(R135),1-W135)</f>
        <v>0.6</v>
      </c>
      <c r="Y135" s="97">
        <f t="shared" si="55"/>
        <v>2.1818181818181821</v>
      </c>
      <c r="Z135" s="96">
        <f t="shared" si="56"/>
        <v>13.55959595959596</v>
      </c>
      <c r="AA135" s="96">
        <f t="shared" si="57"/>
        <v>4.5944865393812009</v>
      </c>
      <c r="AB135" s="96">
        <v>0</v>
      </c>
      <c r="AC135" s="96">
        <f t="shared" si="58"/>
        <v>0.21109306560555044</v>
      </c>
      <c r="AD135" s="98">
        <f t="shared" si="59"/>
        <v>0.21109306560555044</v>
      </c>
      <c r="AE135" s="97">
        <f t="shared" si="60"/>
        <v>12.427567407407409</v>
      </c>
      <c r="AF135" s="96">
        <f t="shared" si="61"/>
        <v>4.5944865393812009</v>
      </c>
      <c r="AG135" s="96">
        <f t="shared" ref="AG135:AG157" si="87">(AF135^2)*RDS_on</f>
        <v>0.10554653280277522</v>
      </c>
      <c r="AH135" s="96">
        <f t="shared" ref="AH135:AH157" si="88">(((R135+T135)*(U135+S135))/2)*Fsw*(tr_sw+tf_sw)</f>
        <v>3.8946330469080159</v>
      </c>
      <c r="AI135" s="98">
        <f t="shared" si="62"/>
        <v>4.0001795797107915</v>
      </c>
      <c r="AJ135" s="97">
        <f t="shared" si="63"/>
        <v>6.8266666666666671</v>
      </c>
      <c r="AK135" s="96">
        <f t="shared" si="64"/>
        <v>9.6705174559867384</v>
      </c>
      <c r="AL135" s="96">
        <f t="shared" si="65"/>
        <v>0.44373333333333337</v>
      </c>
      <c r="AM135" s="96">
        <f t="shared" ref="AM135:AM157" si="89">(R135+T135+Vd_rect)*Qrr*Fsw</f>
        <v>4.8104000000000005</v>
      </c>
      <c r="AN135" s="98">
        <f t="shared" si="66"/>
        <v>5.2541333333333338</v>
      </c>
      <c r="AO135" s="97">
        <f t="shared" ref="AO135:AO157" si="90">(AF135^2)*R_cs</f>
        <v>8.4437226242220179E-2</v>
      </c>
      <c r="AP135" s="96">
        <f t="shared" ref="AP135:AP157" si="91">Qg_tot*Vcc*Fsw</f>
        <v>0.12150000000000002</v>
      </c>
      <c r="AQ135" s="98">
        <f t="shared" si="67"/>
        <v>8.0999999999999996E-3</v>
      </c>
      <c r="AR135" s="97">
        <f t="shared" si="68"/>
        <v>9.4683501392863452</v>
      </c>
      <c r="AS135" s="96">
        <f t="shared" si="69"/>
        <v>81.92</v>
      </c>
      <c r="AT135" s="98">
        <f t="shared" si="70"/>
        <v>89.639434211411526</v>
      </c>
    </row>
    <row r="136" spans="17:46" x14ac:dyDescent="0.3">
      <c r="Q136" s="32">
        <v>129</v>
      </c>
      <c r="R136" s="97">
        <f t="shared" si="80"/>
        <v>12</v>
      </c>
      <c r="S136" s="96">
        <f t="shared" si="81"/>
        <v>6.8800000000000008</v>
      </c>
      <c r="T136" s="96">
        <f t="shared" si="82"/>
        <v>18</v>
      </c>
      <c r="U136" s="98">
        <f t="shared" si="83"/>
        <v>4.5866666666666669</v>
      </c>
      <c r="V136" s="97">
        <f t="shared" si="84"/>
        <v>2</v>
      </c>
      <c r="W136" s="96">
        <f t="shared" si="85"/>
        <v>0.4</v>
      </c>
      <c r="X136" s="98">
        <f t="shared" si="86"/>
        <v>0.6</v>
      </c>
      <c r="Y136" s="97">
        <f t="shared" ref="Y136:Y157" si="92">(T136*W136)/(Lm*Fsw)</f>
        <v>2.1818181818181821</v>
      </c>
      <c r="Z136" s="96">
        <f t="shared" ref="Z136:Z157" si="93">CHOOSE(V136,Y136,U136+S136+(Y136))</f>
        <v>13.64848484848485</v>
      </c>
      <c r="AA136" s="96">
        <f t="shared" ref="AA136:AA157" si="94">CHOOSE(V136,Z136*SQRT((W136+X136)/3),SQRT((U136^2)+((Y136^2)/12)))</f>
        <v>4.6297089893412462</v>
      </c>
      <c r="AB136" s="96">
        <v>0</v>
      </c>
      <c r="AC136" s="96">
        <f t="shared" ref="AC136:AC157" si="95">(AA136^2)*Rdcr</f>
        <v>0.21434205325987143</v>
      </c>
      <c r="AD136" s="98">
        <f t="shared" ref="AD136:AD157" si="96">AB136+AC136</f>
        <v>0.21434205325987143</v>
      </c>
      <c r="AE136" s="97">
        <f t="shared" ref="AE136:AE157" si="97">U136*S136*W136</f>
        <v>12.62250666666667</v>
      </c>
      <c r="AF136" s="96">
        <f t="shared" ref="AF136:AF157" si="98">AA136</f>
        <v>4.6297089893412462</v>
      </c>
      <c r="AG136" s="96">
        <f t="shared" si="87"/>
        <v>0.10717102662993572</v>
      </c>
      <c r="AH136" s="96">
        <f t="shared" si="88"/>
        <v>3.9250598675869854</v>
      </c>
      <c r="AI136" s="98">
        <f t="shared" ref="AI136:AI157" si="99">AG136+AH136</f>
        <v>4.0322308942169212</v>
      </c>
      <c r="AJ136" s="97">
        <f t="shared" ref="AJ136:AJ157" si="100">S136</f>
        <v>6.8800000000000008</v>
      </c>
      <c r="AK136" s="96">
        <f t="shared" ref="AK136:AK157" si="101">CHOOSE(V136,Z136*SQRT(X136/3),SQRT(X136*((Z136^2)+((Y136^2)/3)-(Y136*Z136))))</f>
        <v>9.7392834373622303</v>
      </c>
      <c r="AL136" s="96">
        <f t="shared" ref="AL136:AL157" si="102">S136*Vd_rect</f>
        <v>0.44720000000000004</v>
      </c>
      <c r="AM136" s="96">
        <f t="shared" si="89"/>
        <v>4.8104000000000005</v>
      </c>
      <c r="AN136" s="98">
        <f t="shared" ref="AN136:AN157" si="103">AL136+AM136</f>
        <v>5.2576000000000001</v>
      </c>
      <c r="AO136" s="97">
        <f t="shared" si="90"/>
        <v>8.5736821303948579E-2</v>
      </c>
      <c r="AP136" s="96">
        <f t="shared" si="91"/>
        <v>0.12150000000000002</v>
      </c>
      <c r="AQ136" s="98">
        <f t="shared" ref="AQ136:AQ157" si="104">IQ*T136</f>
        <v>8.0999999999999996E-3</v>
      </c>
      <c r="AR136" s="97">
        <f t="shared" ref="AR136:AR157" si="105">AO136+AN136+AI136+AP136+AQ136</f>
        <v>9.5051677155208694</v>
      </c>
      <c r="AS136" s="96">
        <f t="shared" ref="AS136:AS157" si="106">R136*S136</f>
        <v>82.56</v>
      </c>
      <c r="AT136" s="98">
        <f t="shared" ref="AT136:AT157" si="107">(AS136/(AS136+AR136))*100</f>
        <v>89.675609189252114</v>
      </c>
    </row>
    <row r="137" spans="17:46" x14ac:dyDescent="0.3">
      <c r="Q137" s="32">
        <v>130</v>
      </c>
      <c r="R137" s="97">
        <f t="shared" si="80"/>
        <v>12</v>
      </c>
      <c r="S137" s="96">
        <f t="shared" si="81"/>
        <v>6.9333333333333336</v>
      </c>
      <c r="T137" s="96">
        <f t="shared" si="82"/>
        <v>18</v>
      </c>
      <c r="U137" s="98">
        <f t="shared" si="83"/>
        <v>4.6222222222222227</v>
      </c>
      <c r="V137" s="97">
        <f t="shared" si="84"/>
        <v>2</v>
      </c>
      <c r="W137" s="96">
        <f t="shared" si="85"/>
        <v>0.4</v>
      </c>
      <c r="X137" s="98">
        <f t="shared" si="86"/>
        <v>0.6</v>
      </c>
      <c r="Y137" s="97">
        <f t="shared" si="92"/>
        <v>2.1818181818181821</v>
      </c>
      <c r="Z137" s="96">
        <f t="shared" si="93"/>
        <v>13.737373737373739</v>
      </c>
      <c r="AA137" s="96">
        <f t="shared" si="94"/>
        <v>4.6649364932955919</v>
      </c>
      <c r="AB137" s="96">
        <v>0</v>
      </c>
      <c r="AC137" s="96">
        <f t="shared" si="95"/>
        <v>0.21761632486480975</v>
      </c>
      <c r="AD137" s="98">
        <f t="shared" si="96"/>
        <v>0.21761632486480975</v>
      </c>
      <c r="AE137" s="97">
        <f t="shared" si="97"/>
        <v>12.818962962962965</v>
      </c>
      <c r="AF137" s="96">
        <f t="shared" si="98"/>
        <v>4.6649364932955919</v>
      </c>
      <c r="AG137" s="96">
        <f t="shared" si="87"/>
        <v>0.10880816243240488</v>
      </c>
      <c r="AH137" s="96">
        <f t="shared" si="88"/>
        <v>3.9554866882659545</v>
      </c>
      <c r="AI137" s="98">
        <f t="shared" si="99"/>
        <v>4.0642948506983592</v>
      </c>
      <c r="AJ137" s="97">
        <f t="shared" si="100"/>
        <v>6.9333333333333336</v>
      </c>
      <c r="AK137" s="96">
        <f t="shared" si="101"/>
        <v>9.8080506402390562</v>
      </c>
      <c r="AL137" s="96">
        <f t="shared" si="102"/>
        <v>0.45066666666666672</v>
      </c>
      <c r="AM137" s="96">
        <f t="shared" si="89"/>
        <v>4.8104000000000005</v>
      </c>
      <c r="AN137" s="98">
        <f t="shared" si="103"/>
        <v>5.2610666666666672</v>
      </c>
      <c r="AO137" s="97">
        <f t="shared" si="90"/>
        <v>8.7046529945923892E-2</v>
      </c>
      <c r="AP137" s="96">
        <f t="shared" si="91"/>
        <v>0.12150000000000002</v>
      </c>
      <c r="AQ137" s="98">
        <f t="shared" si="104"/>
        <v>8.0999999999999996E-3</v>
      </c>
      <c r="AR137" s="97">
        <f t="shared" si="105"/>
        <v>9.5420080473109508</v>
      </c>
      <c r="AS137" s="96">
        <f t="shared" si="106"/>
        <v>83.2</v>
      </c>
      <c r="AT137" s="98">
        <f t="shared" si="107"/>
        <v>89.711234155677076</v>
      </c>
    </row>
    <row r="138" spans="17:46" x14ac:dyDescent="0.3">
      <c r="Q138" s="32">
        <v>131</v>
      </c>
      <c r="R138" s="97">
        <f t="shared" si="80"/>
        <v>12</v>
      </c>
      <c r="S138" s="96">
        <f t="shared" si="81"/>
        <v>6.9866666666666672</v>
      </c>
      <c r="T138" s="96">
        <f t="shared" si="82"/>
        <v>18</v>
      </c>
      <c r="U138" s="98">
        <f t="shared" si="83"/>
        <v>4.6577777777777776</v>
      </c>
      <c r="V138" s="97">
        <f t="shared" si="84"/>
        <v>2</v>
      </c>
      <c r="W138" s="96">
        <f t="shared" si="85"/>
        <v>0.4</v>
      </c>
      <c r="X138" s="98">
        <f t="shared" si="86"/>
        <v>0.6</v>
      </c>
      <c r="Y138" s="97">
        <f t="shared" si="92"/>
        <v>2.1818181818181821</v>
      </c>
      <c r="Z138" s="96">
        <f t="shared" si="93"/>
        <v>13.826262626262627</v>
      </c>
      <c r="AA138" s="96">
        <f t="shared" si="94"/>
        <v>4.7001689376060218</v>
      </c>
      <c r="AB138" s="96">
        <v>0</v>
      </c>
      <c r="AC138" s="96">
        <f t="shared" si="95"/>
        <v>0.2209158804203652</v>
      </c>
      <c r="AD138" s="98">
        <f t="shared" si="96"/>
        <v>0.2209158804203652</v>
      </c>
      <c r="AE138" s="97">
        <f t="shared" si="97"/>
        <v>13.016936296296297</v>
      </c>
      <c r="AF138" s="96">
        <f t="shared" si="98"/>
        <v>4.7001689376060218</v>
      </c>
      <c r="AG138" s="96">
        <f t="shared" si="87"/>
        <v>0.1104579402101826</v>
      </c>
      <c r="AH138" s="96">
        <f t="shared" si="88"/>
        <v>3.9859135089449227</v>
      </c>
      <c r="AI138" s="98">
        <f t="shared" si="99"/>
        <v>4.0963714491551055</v>
      </c>
      <c r="AJ138" s="97">
        <f t="shared" si="100"/>
        <v>6.9866666666666672</v>
      </c>
      <c r="AK138" s="96">
        <f t="shared" si="101"/>
        <v>9.8768190391031627</v>
      </c>
      <c r="AL138" s="96">
        <f t="shared" si="102"/>
        <v>0.45413333333333339</v>
      </c>
      <c r="AM138" s="96">
        <f t="shared" si="89"/>
        <v>4.8104000000000005</v>
      </c>
      <c r="AN138" s="98">
        <f t="shared" si="103"/>
        <v>5.2645333333333335</v>
      </c>
      <c r="AO138" s="97">
        <f t="shared" si="90"/>
        <v>8.8366352168146076E-2</v>
      </c>
      <c r="AP138" s="96">
        <f t="shared" si="91"/>
        <v>0.12150000000000002</v>
      </c>
      <c r="AQ138" s="98">
        <f t="shared" si="104"/>
        <v>8.0999999999999996E-3</v>
      </c>
      <c r="AR138" s="97">
        <f t="shared" si="105"/>
        <v>9.578871134656584</v>
      </c>
      <c r="AS138" s="96">
        <f t="shared" si="106"/>
        <v>83.84</v>
      </c>
      <c r="AT138" s="98">
        <f t="shared" si="107"/>
        <v>89.746321039515323</v>
      </c>
    </row>
    <row r="139" spans="17:46" x14ac:dyDescent="0.3">
      <c r="Q139" s="32">
        <v>132</v>
      </c>
      <c r="R139" s="97">
        <f t="shared" si="80"/>
        <v>12</v>
      </c>
      <c r="S139" s="96">
        <f t="shared" si="81"/>
        <v>7.04</v>
      </c>
      <c r="T139" s="96">
        <f t="shared" si="82"/>
        <v>18</v>
      </c>
      <c r="U139" s="98">
        <f t="shared" si="83"/>
        <v>4.6933333333333334</v>
      </c>
      <c r="V139" s="97">
        <f t="shared" si="84"/>
        <v>2</v>
      </c>
      <c r="W139" s="96">
        <f t="shared" si="85"/>
        <v>0.4</v>
      </c>
      <c r="X139" s="98">
        <f t="shared" si="86"/>
        <v>0.6</v>
      </c>
      <c r="Y139" s="97">
        <f t="shared" si="92"/>
        <v>2.1818181818181821</v>
      </c>
      <c r="Z139" s="96">
        <f t="shared" si="93"/>
        <v>13.915151515151516</v>
      </c>
      <c r="AA139" s="96">
        <f t="shared" si="94"/>
        <v>4.7354062120005933</v>
      </c>
      <c r="AB139" s="96">
        <v>0</v>
      </c>
      <c r="AC139" s="96">
        <f t="shared" si="95"/>
        <v>0.22424071992653807</v>
      </c>
      <c r="AD139" s="98">
        <f t="shared" si="96"/>
        <v>0.22424071992653807</v>
      </c>
      <c r="AE139" s="97">
        <f t="shared" si="97"/>
        <v>13.216426666666667</v>
      </c>
      <c r="AF139" s="96">
        <f t="shared" si="98"/>
        <v>4.7354062120005933</v>
      </c>
      <c r="AG139" s="96">
        <f t="shared" si="87"/>
        <v>0.11212035996326904</v>
      </c>
      <c r="AH139" s="96">
        <f t="shared" si="88"/>
        <v>4.0163403296238913</v>
      </c>
      <c r="AI139" s="98">
        <f t="shared" si="99"/>
        <v>4.1284606895871603</v>
      </c>
      <c r="AJ139" s="97">
        <f t="shared" si="100"/>
        <v>7.04</v>
      </c>
      <c r="AK139" s="96">
        <f t="shared" si="101"/>
        <v>9.9455886091457231</v>
      </c>
      <c r="AL139" s="96">
        <f t="shared" si="102"/>
        <v>0.45760000000000001</v>
      </c>
      <c r="AM139" s="96">
        <f t="shared" si="89"/>
        <v>4.8104000000000005</v>
      </c>
      <c r="AN139" s="98">
        <f t="shared" si="103"/>
        <v>5.2680000000000007</v>
      </c>
      <c r="AO139" s="97">
        <f t="shared" si="90"/>
        <v>8.9696287970615227E-2</v>
      </c>
      <c r="AP139" s="96">
        <f t="shared" si="91"/>
        <v>0.12150000000000002</v>
      </c>
      <c r="AQ139" s="98">
        <f t="shared" si="104"/>
        <v>8.0999999999999996E-3</v>
      </c>
      <c r="AR139" s="97">
        <f t="shared" si="105"/>
        <v>9.6157569775577763</v>
      </c>
      <c r="AS139" s="96">
        <f t="shared" si="106"/>
        <v>84.48</v>
      </c>
      <c r="AT139" s="98">
        <f t="shared" si="107"/>
        <v>89.780881427149609</v>
      </c>
    </row>
    <row r="140" spans="17:46" x14ac:dyDescent="0.3">
      <c r="Q140" s="32">
        <v>133</v>
      </c>
      <c r="R140" s="97">
        <f t="shared" si="80"/>
        <v>12</v>
      </c>
      <c r="S140" s="96">
        <f t="shared" si="81"/>
        <v>7.0933333333333337</v>
      </c>
      <c r="T140" s="96">
        <f t="shared" si="82"/>
        <v>18</v>
      </c>
      <c r="U140" s="98">
        <f t="shared" si="83"/>
        <v>4.7288888888888891</v>
      </c>
      <c r="V140" s="97">
        <f t="shared" si="84"/>
        <v>2</v>
      </c>
      <c r="W140" s="96">
        <f t="shared" si="85"/>
        <v>0.4</v>
      </c>
      <c r="X140" s="98">
        <f t="shared" si="86"/>
        <v>0.6</v>
      </c>
      <c r="Y140" s="97">
        <f t="shared" si="92"/>
        <v>2.1818181818181821</v>
      </c>
      <c r="Z140" s="96">
        <f t="shared" si="93"/>
        <v>14.004040404040405</v>
      </c>
      <c r="AA140" s="96">
        <f t="shared" si="94"/>
        <v>4.7706482094504539</v>
      </c>
      <c r="AB140" s="96">
        <v>0</v>
      </c>
      <c r="AC140" s="96">
        <f t="shared" si="95"/>
        <v>0.22759084338332825</v>
      </c>
      <c r="AD140" s="98">
        <f t="shared" si="96"/>
        <v>0.22759084338332825</v>
      </c>
      <c r="AE140" s="97">
        <f t="shared" si="97"/>
        <v>13.417434074074075</v>
      </c>
      <c r="AF140" s="96">
        <f t="shared" si="98"/>
        <v>4.7706482094504539</v>
      </c>
      <c r="AG140" s="96">
        <f t="shared" si="87"/>
        <v>0.11379542169166412</v>
      </c>
      <c r="AH140" s="96">
        <f t="shared" si="88"/>
        <v>4.0467671503028599</v>
      </c>
      <c r="AI140" s="98">
        <f t="shared" si="99"/>
        <v>4.1605625719945243</v>
      </c>
      <c r="AJ140" s="97">
        <f t="shared" si="100"/>
        <v>7.0933333333333337</v>
      </c>
      <c r="AK140" s="96">
        <f t="shared" si="101"/>
        <v>10.014359326238953</v>
      </c>
      <c r="AL140" s="96">
        <f t="shared" si="102"/>
        <v>0.46106666666666668</v>
      </c>
      <c r="AM140" s="96">
        <f t="shared" si="89"/>
        <v>4.8104000000000005</v>
      </c>
      <c r="AN140" s="98">
        <f t="shared" si="103"/>
        <v>5.271466666666667</v>
      </c>
      <c r="AO140" s="97">
        <f t="shared" si="90"/>
        <v>9.103633735333129E-2</v>
      </c>
      <c r="AP140" s="96">
        <f t="shared" si="91"/>
        <v>0.12150000000000002</v>
      </c>
      <c r="AQ140" s="98">
        <f t="shared" si="104"/>
        <v>8.0999999999999996E-3</v>
      </c>
      <c r="AR140" s="97">
        <f t="shared" si="105"/>
        <v>9.6526655760145221</v>
      </c>
      <c r="AS140" s="96">
        <f t="shared" si="106"/>
        <v>85.12</v>
      </c>
      <c r="AT140" s="98">
        <f t="shared" si="107"/>
        <v>89.814926574717475</v>
      </c>
    </row>
    <row r="141" spans="17:46" x14ac:dyDescent="0.3">
      <c r="Q141" s="32">
        <v>134</v>
      </c>
      <c r="R141" s="97">
        <f t="shared" si="80"/>
        <v>12</v>
      </c>
      <c r="S141" s="96">
        <f t="shared" si="81"/>
        <v>7.1466666666666674</v>
      </c>
      <c r="T141" s="96">
        <f t="shared" si="82"/>
        <v>18</v>
      </c>
      <c r="U141" s="98">
        <f t="shared" si="83"/>
        <v>4.7644444444444449</v>
      </c>
      <c r="V141" s="97">
        <f t="shared" si="84"/>
        <v>2</v>
      </c>
      <c r="W141" s="96">
        <f t="shared" si="85"/>
        <v>0.4</v>
      </c>
      <c r="X141" s="98">
        <f t="shared" si="86"/>
        <v>0.6</v>
      </c>
      <c r="Y141" s="97">
        <f t="shared" si="92"/>
        <v>2.1818181818181821</v>
      </c>
      <c r="Z141" s="96">
        <f t="shared" si="93"/>
        <v>14.092929292929293</v>
      </c>
      <c r="AA141" s="96">
        <f t="shared" si="94"/>
        <v>4.8058948260520191</v>
      </c>
      <c r="AB141" s="96">
        <v>0</v>
      </c>
      <c r="AC141" s="96">
        <f t="shared" si="95"/>
        <v>0.23096625079073568</v>
      </c>
      <c r="AD141" s="98">
        <f t="shared" si="96"/>
        <v>0.23096625079073568</v>
      </c>
      <c r="AE141" s="97">
        <f t="shared" si="97"/>
        <v>13.619958518518523</v>
      </c>
      <c r="AF141" s="96">
        <f t="shared" si="98"/>
        <v>4.8058948260520191</v>
      </c>
      <c r="AG141" s="96">
        <f t="shared" si="87"/>
        <v>0.11548312539536784</v>
      </c>
      <c r="AH141" s="96">
        <f t="shared" si="88"/>
        <v>4.0771939709818295</v>
      </c>
      <c r="AI141" s="98">
        <f t="shared" si="99"/>
        <v>4.1926770963771975</v>
      </c>
      <c r="AJ141" s="97">
        <f t="shared" si="100"/>
        <v>7.1466666666666674</v>
      </c>
      <c r="AK141" s="96">
        <f t="shared" si="101"/>
        <v>10.08313116691291</v>
      </c>
      <c r="AL141" s="96">
        <f t="shared" si="102"/>
        <v>0.46453333333333341</v>
      </c>
      <c r="AM141" s="96">
        <f t="shared" si="89"/>
        <v>4.8104000000000005</v>
      </c>
      <c r="AN141" s="98">
        <f t="shared" si="103"/>
        <v>5.2749333333333341</v>
      </c>
      <c r="AO141" s="97">
        <f t="shared" si="90"/>
        <v>9.2386500316294279E-2</v>
      </c>
      <c r="AP141" s="96">
        <f t="shared" si="91"/>
        <v>0.12150000000000002</v>
      </c>
      <c r="AQ141" s="98">
        <f t="shared" si="104"/>
        <v>8.0999999999999996E-3</v>
      </c>
      <c r="AR141" s="97">
        <f t="shared" si="105"/>
        <v>9.689596930026827</v>
      </c>
      <c r="AS141" s="96">
        <f t="shared" si="106"/>
        <v>85.76</v>
      </c>
      <c r="AT141" s="98">
        <f t="shared" si="107"/>
        <v>89.848467419794162</v>
      </c>
    </row>
    <row r="142" spans="17:46" x14ac:dyDescent="0.3">
      <c r="Q142" s="32">
        <v>135</v>
      </c>
      <c r="R142" s="97">
        <f t="shared" si="80"/>
        <v>12</v>
      </c>
      <c r="S142" s="96">
        <f t="shared" si="81"/>
        <v>7.2</v>
      </c>
      <c r="T142" s="96">
        <f t="shared" si="82"/>
        <v>18</v>
      </c>
      <c r="U142" s="98">
        <f t="shared" si="83"/>
        <v>4.8000000000000007</v>
      </c>
      <c r="V142" s="97">
        <f t="shared" si="84"/>
        <v>2</v>
      </c>
      <c r="W142" s="96">
        <f t="shared" si="85"/>
        <v>0.4</v>
      </c>
      <c r="X142" s="98">
        <f t="shared" si="86"/>
        <v>0.6</v>
      </c>
      <c r="Y142" s="97">
        <f t="shared" si="92"/>
        <v>2.1818181818181821</v>
      </c>
      <c r="Z142" s="96">
        <f t="shared" si="93"/>
        <v>14.181818181818182</v>
      </c>
      <c r="AA142" s="96">
        <f t="shared" si="94"/>
        <v>4.8411459609142167</v>
      </c>
      <c r="AB142" s="96">
        <v>0</v>
      </c>
      <c r="AC142" s="96">
        <f t="shared" si="95"/>
        <v>0.23436694214876036</v>
      </c>
      <c r="AD142" s="98">
        <f t="shared" si="96"/>
        <v>0.23436694214876036</v>
      </c>
      <c r="AE142" s="97">
        <f t="shared" si="97"/>
        <v>13.824000000000005</v>
      </c>
      <c r="AF142" s="96">
        <f t="shared" si="98"/>
        <v>4.8411459609142167</v>
      </c>
      <c r="AG142" s="96">
        <f t="shared" si="87"/>
        <v>0.11718347107438018</v>
      </c>
      <c r="AH142" s="96">
        <f t="shared" si="88"/>
        <v>4.1076207916607981</v>
      </c>
      <c r="AI142" s="98">
        <f t="shared" si="99"/>
        <v>4.2248042627351783</v>
      </c>
      <c r="AJ142" s="97">
        <f t="shared" si="100"/>
        <v>7.2</v>
      </c>
      <c r="AK142" s="96">
        <f t="shared" si="101"/>
        <v>10.151904108333243</v>
      </c>
      <c r="AL142" s="96">
        <f t="shared" si="102"/>
        <v>0.46800000000000003</v>
      </c>
      <c r="AM142" s="96">
        <f t="shared" si="89"/>
        <v>4.8104000000000005</v>
      </c>
      <c r="AN142" s="98">
        <f t="shared" si="103"/>
        <v>5.2784000000000004</v>
      </c>
      <c r="AO142" s="97">
        <f t="shared" si="90"/>
        <v>9.3746776859504138E-2</v>
      </c>
      <c r="AP142" s="96">
        <f t="shared" si="91"/>
        <v>0.12150000000000002</v>
      </c>
      <c r="AQ142" s="98">
        <f t="shared" si="104"/>
        <v>8.0999999999999996E-3</v>
      </c>
      <c r="AR142" s="97">
        <f t="shared" si="105"/>
        <v>9.7265510395946819</v>
      </c>
      <c r="AS142" s="96">
        <f t="shared" si="106"/>
        <v>86.4</v>
      </c>
      <c r="AT142" s="98">
        <f t="shared" si="107"/>
        <v>89.88151459258296</v>
      </c>
    </row>
    <row r="143" spans="17:46" x14ac:dyDescent="0.3">
      <c r="Q143" s="32">
        <v>136</v>
      </c>
      <c r="R143" s="97">
        <f t="shared" si="80"/>
        <v>12</v>
      </c>
      <c r="S143" s="96">
        <f t="shared" si="81"/>
        <v>7.2533333333333339</v>
      </c>
      <c r="T143" s="96">
        <f t="shared" si="82"/>
        <v>18</v>
      </c>
      <c r="U143" s="98">
        <f t="shared" si="83"/>
        <v>4.8355555555555556</v>
      </c>
      <c r="V143" s="97">
        <f t="shared" si="84"/>
        <v>2</v>
      </c>
      <c r="W143" s="96">
        <f t="shared" si="85"/>
        <v>0.4</v>
      </c>
      <c r="X143" s="98">
        <f t="shared" si="86"/>
        <v>0.6</v>
      </c>
      <c r="Y143" s="97">
        <f t="shared" si="92"/>
        <v>2.1818181818181821</v>
      </c>
      <c r="Z143" s="96">
        <f t="shared" si="93"/>
        <v>14.27070707070707</v>
      </c>
      <c r="AA143" s="96">
        <f t="shared" si="94"/>
        <v>4.8764015160505636</v>
      </c>
      <c r="AB143" s="96">
        <v>0</v>
      </c>
      <c r="AC143" s="96">
        <f t="shared" si="95"/>
        <v>0.23779291745740236</v>
      </c>
      <c r="AD143" s="98">
        <f t="shared" si="96"/>
        <v>0.23779291745740236</v>
      </c>
      <c r="AE143" s="97">
        <f t="shared" si="97"/>
        <v>14.02955851851852</v>
      </c>
      <c r="AF143" s="96">
        <f t="shared" si="98"/>
        <v>4.8764015160505636</v>
      </c>
      <c r="AG143" s="96">
        <f t="shared" si="87"/>
        <v>0.11889645872870118</v>
      </c>
      <c r="AH143" s="96">
        <f t="shared" si="88"/>
        <v>4.1380476123397658</v>
      </c>
      <c r="AI143" s="98">
        <f t="shared" si="99"/>
        <v>4.2569440710684674</v>
      </c>
      <c r="AJ143" s="97">
        <f t="shared" si="100"/>
        <v>7.2533333333333339</v>
      </c>
      <c r="AK143" s="96">
        <f t="shared" si="101"/>
        <v>10.220678128279834</v>
      </c>
      <c r="AL143" s="96">
        <f t="shared" si="102"/>
        <v>0.4714666666666667</v>
      </c>
      <c r="AM143" s="96">
        <f t="shared" si="89"/>
        <v>4.8104000000000005</v>
      </c>
      <c r="AN143" s="98">
        <f t="shared" si="103"/>
        <v>5.2818666666666676</v>
      </c>
      <c r="AO143" s="97">
        <f t="shared" si="90"/>
        <v>9.5117166982960938E-2</v>
      </c>
      <c r="AP143" s="96">
        <f t="shared" si="91"/>
        <v>0.12150000000000002</v>
      </c>
      <c r="AQ143" s="98">
        <f t="shared" si="104"/>
        <v>8.0999999999999996E-3</v>
      </c>
      <c r="AR143" s="97">
        <f t="shared" si="105"/>
        <v>9.7635279047180958</v>
      </c>
      <c r="AS143" s="96">
        <f t="shared" si="106"/>
        <v>87.04</v>
      </c>
      <c r="AT143" s="98">
        <f t="shared" si="107"/>
        <v>89.91407842663736</v>
      </c>
    </row>
    <row r="144" spans="17:46" x14ac:dyDescent="0.3">
      <c r="Q144" s="32">
        <v>137</v>
      </c>
      <c r="R144" s="97">
        <f t="shared" si="80"/>
        <v>12</v>
      </c>
      <c r="S144" s="96">
        <f t="shared" si="81"/>
        <v>7.3066666666666675</v>
      </c>
      <c r="T144" s="96">
        <f t="shared" si="82"/>
        <v>18</v>
      </c>
      <c r="U144" s="98">
        <f t="shared" si="83"/>
        <v>4.8711111111111114</v>
      </c>
      <c r="V144" s="97">
        <f t="shared" si="84"/>
        <v>2</v>
      </c>
      <c r="W144" s="96">
        <f t="shared" si="85"/>
        <v>0.4</v>
      </c>
      <c r="X144" s="98">
        <f t="shared" si="86"/>
        <v>0.6</v>
      </c>
      <c r="Y144" s="97">
        <f t="shared" si="92"/>
        <v>2.1818181818181821</v>
      </c>
      <c r="Z144" s="96">
        <f t="shared" si="93"/>
        <v>14.359595959595961</v>
      </c>
      <c r="AA144" s="96">
        <f t="shared" si="94"/>
        <v>4.9116613962758224</v>
      </c>
      <c r="AB144" s="96">
        <v>0</v>
      </c>
      <c r="AC144" s="96">
        <f t="shared" si="95"/>
        <v>0.24124417671666162</v>
      </c>
      <c r="AD144" s="98">
        <f t="shared" si="96"/>
        <v>0.24124417671666162</v>
      </c>
      <c r="AE144" s="97">
        <f t="shared" si="97"/>
        <v>14.236634074074075</v>
      </c>
      <c r="AF144" s="96">
        <f t="shared" si="98"/>
        <v>4.9116613962758224</v>
      </c>
      <c r="AG144" s="96">
        <f t="shared" si="87"/>
        <v>0.12062208835833081</v>
      </c>
      <c r="AH144" s="96">
        <f t="shared" si="88"/>
        <v>4.1684744330187362</v>
      </c>
      <c r="AI144" s="98">
        <f t="shared" si="99"/>
        <v>4.2890965213770667</v>
      </c>
      <c r="AJ144" s="97">
        <f t="shared" si="100"/>
        <v>7.3066666666666675</v>
      </c>
      <c r="AK144" s="96">
        <f t="shared" si="101"/>
        <v>10.289453205126287</v>
      </c>
      <c r="AL144" s="96">
        <f t="shared" si="102"/>
        <v>0.47493333333333343</v>
      </c>
      <c r="AM144" s="96">
        <f t="shared" si="89"/>
        <v>4.8104000000000005</v>
      </c>
      <c r="AN144" s="98">
        <f t="shared" si="103"/>
        <v>5.2853333333333339</v>
      </c>
      <c r="AO144" s="97">
        <f t="shared" si="90"/>
        <v>9.6497670686664649E-2</v>
      </c>
      <c r="AP144" s="96">
        <f t="shared" si="91"/>
        <v>0.12150000000000002</v>
      </c>
      <c r="AQ144" s="98">
        <f t="shared" si="104"/>
        <v>8.0999999999999996E-3</v>
      </c>
      <c r="AR144" s="97">
        <f t="shared" si="105"/>
        <v>9.8005275253970652</v>
      </c>
      <c r="AS144" s="96">
        <f t="shared" si="106"/>
        <v>87.68</v>
      </c>
      <c r="AT144" s="98">
        <f t="shared" si="107"/>
        <v>89.946168969137261</v>
      </c>
    </row>
    <row r="145" spans="17:46" x14ac:dyDescent="0.3">
      <c r="Q145" s="32">
        <v>138</v>
      </c>
      <c r="R145" s="97">
        <f t="shared" si="80"/>
        <v>12</v>
      </c>
      <c r="S145" s="96">
        <f t="shared" si="81"/>
        <v>7.36</v>
      </c>
      <c r="T145" s="96">
        <f t="shared" si="82"/>
        <v>18</v>
      </c>
      <c r="U145" s="98">
        <f t="shared" si="83"/>
        <v>4.9066666666666672</v>
      </c>
      <c r="V145" s="97">
        <f t="shared" si="84"/>
        <v>2</v>
      </c>
      <c r="W145" s="96">
        <f t="shared" si="85"/>
        <v>0.4</v>
      </c>
      <c r="X145" s="98">
        <f t="shared" si="86"/>
        <v>0.6</v>
      </c>
      <c r="Y145" s="97">
        <f t="shared" si="92"/>
        <v>2.1818181818181821</v>
      </c>
      <c r="Z145" s="96">
        <f t="shared" si="93"/>
        <v>14.448484848484849</v>
      </c>
      <c r="AA145" s="96">
        <f t="shared" si="94"/>
        <v>4.9469255091070261</v>
      </c>
      <c r="AB145" s="96">
        <v>0</v>
      </c>
      <c r="AC145" s="96">
        <f t="shared" si="95"/>
        <v>0.2447207199265381</v>
      </c>
      <c r="AD145" s="98">
        <f t="shared" si="96"/>
        <v>0.2447207199265381</v>
      </c>
      <c r="AE145" s="97">
        <f t="shared" si="97"/>
        <v>14.44522666666667</v>
      </c>
      <c r="AF145" s="96">
        <f t="shared" si="98"/>
        <v>4.9469255091070261</v>
      </c>
      <c r="AG145" s="96">
        <f t="shared" si="87"/>
        <v>0.12236035996326905</v>
      </c>
      <c r="AH145" s="96">
        <f t="shared" si="88"/>
        <v>4.1989012536977048</v>
      </c>
      <c r="AI145" s="98">
        <f t="shared" si="99"/>
        <v>4.3212616136609743</v>
      </c>
      <c r="AJ145" s="97">
        <f t="shared" si="100"/>
        <v>7.36</v>
      </c>
      <c r="AK145" s="96">
        <f t="shared" si="101"/>
        <v>10.35822931782025</v>
      </c>
      <c r="AL145" s="96">
        <f t="shared" si="102"/>
        <v>0.47840000000000005</v>
      </c>
      <c r="AM145" s="96">
        <f t="shared" si="89"/>
        <v>4.8104000000000005</v>
      </c>
      <c r="AN145" s="98">
        <f t="shared" si="103"/>
        <v>5.2888000000000002</v>
      </c>
      <c r="AO145" s="97">
        <f t="shared" si="90"/>
        <v>9.7888287970615245E-2</v>
      </c>
      <c r="AP145" s="96">
        <f t="shared" si="91"/>
        <v>0.12150000000000002</v>
      </c>
      <c r="AQ145" s="98">
        <f t="shared" si="104"/>
        <v>8.0999999999999996E-3</v>
      </c>
      <c r="AR145" s="97">
        <f t="shared" si="105"/>
        <v>9.8375499016315899</v>
      </c>
      <c r="AS145" s="96">
        <f t="shared" si="106"/>
        <v>88.320000000000007</v>
      </c>
      <c r="AT145" s="98">
        <f t="shared" si="107"/>
        <v>89.977795990741143</v>
      </c>
    </row>
    <row r="146" spans="17:46" x14ac:dyDescent="0.3">
      <c r="Q146" s="32">
        <v>139</v>
      </c>
      <c r="R146" s="97">
        <f t="shared" si="80"/>
        <v>12</v>
      </c>
      <c r="S146" s="96">
        <f t="shared" si="81"/>
        <v>7.413333333333334</v>
      </c>
      <c r="T146" s="96">
        <f t="shared" si="82"/>
        <v>18</v>
      </c>
      <c r="U146" s="98">
        <f t="shared" si="83"/>
        <v>4.942222222222223</v>
      </c>
      <c r="V146" s="97">
        <f t="shared" si="84"/>
        <v>2</v>
      </c>
      <c r="W146" s="96">
        <f t="shared" si="85"/>
        <v>0.4</v>
      </c>
      <c r="X146" s="98">
        <f t="shared" si="86"/>
        <v>0.6</v>
      </c>
      <c r="Y146" s="97">
        <f t="shared" si="92"/>
        <v>2.1818181818181821</v>
      </c>
      <c r="Z146" s="96">
        <f t="shared" si="93"/>
        <v>14.53737373737374</v>
      </c>
      <c r="AA146" s="96">
        <f t="shared" si="94"/>
        <v>4.9821937646686525</v>
      </c>
      <c r="AB146" s="96">
        <v>0</v>
      </c>
      <c r="AC146" s="96">
        <f t="shared" si="95"/>
        <v>0.24822254708703204</v>
      </c>
      <c r="AD146" s="98">
        <f t="shared" si="96"/>
        <v>0.24822254708703204</v>
      </c>
      <c r="AE146" s="97">
        <f t="shared" si="97"/>
        <v>14.655336296296301</v>
      </c>
      <c r="AF146" s="96">
        <f t="shared" si="98"/>
        <v>4.9821937646686525</v>
      </c>
      <c r="AG146" s="96">
        <f t="shared" si="87"/>
        <v>0.12411127354351602</v>
      </c>
      <c r="AH146" s="96">
        <f t="shared" si="88"/>
        <v>4.2293280743766744</v>
      </c>
      <c r="AI146" s="98">
        <f t="shared" si="99"/>
        <v>4.3534393479201903</v>
      </c>
      <c r="AJ146" s="97">
        <f t="shared" si="100"/>
        <v>7.413333333333334</v>
      </c>
      <c r="AK146" s="96">
        <f t="shared" si="101"/>
        <v>10.4270064458645</v>
      </c>
      <c r="AL146" s="96">
        <f t="shared" si="102"/>
        <v>0.48186666666666672</v>
      </c>
      <c r="AM146" s="96">
        <f t="shared" si="89"/>
        <v>4.8104000000000005</v>
      </c>
      <c r="AN146" s="98">
        <f t="shared" si="103"/>
        <v>5.2922666666666673</v>
      </c>
      <c r="AO146" s="97">
        <f t="shared" si="90"/>
        <v>9.9289018834812809E-2</v>
      </c>
      <c r="AP146" s="96">
        <f t="shared" si="91"/>
        <v>0.12150000000000002</v>
      </c>
      <c r="AQ146" s="98">
        <f t="shared" si="104"/>
        <v>8.0999999999999996E-3</v>
      </c>
      <c r="AR146" s="97">
        <f t="shared" si="105"/>
        <v>9.8745950334216701</v>
      </c>
      <c r="AS146" s="96">
        <f t="shared" si="106"/>
        <v>88.960000000000008</v>
      </c>
      <c r="AT146" s="98">
        <f t="shared" si="107"/>
        <v>90.008968995034081</v>
      </c>
    </row>
    <row r="147" spans="17:46" x14ac:dyDescent="0.3">
      <c r="Q147" s="32">
        <v>140</v>
      </c>
      <c r="R147" s="97">
        <f t="shared" si="80"/>
        <v>12</v>
      </c>
      <c r="S147" s="96">
        <f t="shared" si="81"/>
        <v>7.4666666666666668</v>
      </c>
      <c r="T147" s="96">
        <f t="shared" si="82"/>
        <v>18</v>
      </c>
      <c r="U147" s="98">
        <f t="shared" si="83"/>
        <v>4.9777777777777779</v>
      </c>
      <c r="V147" s="97">
        <f t="shared" si="84"/>
        <v>2</v>
      </c>
      <c r="W147" s="96">
        <f t="shared" si="85"/>
        <v>0.4</v>
      </c>
      <c r="X147" s="98">
        <f t="shared" si="86"/>
        <v>0.6</v>
      </c>
      <c r="Y147" s="97">
        <f t="shared" si="92"/>
        <v>2.1818181818181821</v>
      </c>
      <c r="Z147" s="96">
        <f t="shared" si="93"/>
        <v>14.626262626262626</v>
      </c>
      <c r="AA147" s="96">
        <f t="shared" si="94"/>
        <v>5.017466075601738</v>
      </c>
      <c r="AB147" s="96">
        <v>0</v>
      </c>
      <c r="AC147" s="96">
        <f t="shared" si="95"/>
        <v>0.25174965819814304</v>
      </c>
      <c r="AD147" s="98">
        <f t="shared" si="96"/>
        <v>0.25174965819814304</v>
      </c>
      <c r="AE147" s="97">
        <f t="shared" si="97"/>
        <v>14.866962962962965</v>
      </c>
      <c r="AF147" s="96">
        <f t="shared" si="98"/>
        <v>5.017466075601738</v>
      </c>
      <c r="AG147" s="96">
        <f t="shared" si="87"/>
        <v>0.12587482909907152</v>
      </c>
      <c r="AH147" s="96">
        <f t="shared" si="88"/>
        <v>4.2597548950556421</v>
      </c>
      <c r="AI147" s="98">
        <f t="shared" si="99"/>
        <v>4.3856297241547137</v>
      </c>
      <c r="AJ147" s="97">
        <f t="shared" si="100"/>
        <v>7.4666666666666668</v>
      </c>
      <c r="AK147" s="96">
        <f t="shared" si="101"/>
        <v>10.495784569298767</v>
      </c>
      <c r="AL147" s="96">
        <f t="shared" si="102"/>
        <v>0.48533333333333334</v>
      </c>
      <c r="AM147" s="96">
        <f t="shared" si="89"/>
        <v>4.8104000000000005</v>
      </c>
      <c r="AN147" s="98">
        <f t="shared" si="103"/>
        <v>5.2957333333333336</v>
      </c>
      <c r="AO147" s="97">
        <f t="shared" si="90"/>
        <v>0.10069986327925722</v>
      </c>
      <c r="AP147" s="96">
        <f t="shared" si="91"/>
        <v>0.12150000000000002</v>
      </c>
      <c r="AQ147" s="98">
        <f t="shared" si="104"/>
        <v>8.0999999999999996E-3</v>
      </c>
      <c r="AR147" s="97">
        <f t="shared" si="105"/>
        <v>9.9116629207673057</v>
      </c>
      <c r="AS147" s="96">
        <f t="shared" si="106"/>
        <v>89.6</v>
      </c>
      <c r="AT147" s="98">
        <f t="shared" si="107"/>
        <v>90.039697227591191</v>
      </c>
    </row>
    <row r="148" spans="17:46" x14ac:dyDescent="0.3">
      <c r="Q148" s="32">
        <v>141</v>
      </c>
      <c r="R148" s="97">
        <f t="shared" si="80"/>
        <v>12</v>
      </c>
      <c r="S148" s="96">
        <f t="shared" si="81"/>
        <v>7.5200000000000005</v>
      </c>
      <c r="T148" s="96">
        <f t="shared" si="82"/>
        <v>18</v>
      </c>
      <c r="U148" s="98">
        <f t="shared" si="83"/>
        <v>5.0133333333333336</v>
      </c>
      <c r="V148" s="97">
        <f t="shared" si="84"/>
        <v>2</v>
      </c>
      <c r="W148" s="96">
        <f t="shared" si="85"/>
        <v>0.4</v>
      </c>
      <c r="X148" s="98">
        <f t="shared" si="86"/>
        <v>0.6</v>
      </c>
      <c r="Y148" s="97">
        <f t="shared" si="92"/>
        <v>2.1818181818181821</v>
      </c>
      <c r="Z148" s="96">
        <f t="shared" si="93"/>
        <v>14.715151515151517</v>
      </c>
      <c r="AA148" s="96">
        <f t="shared" si="94"/>
        <v>5.0527423569767684</v>
      </c>
      <c r="AB148" s="96">
        <v>0</v>
      </c>
      <c r="AC148" s="96">
        <f t="shared" si="95"/>
        <v>0.25530205325987149</v>
      </c>
      <c r="AD148" s="98">
        <f t="shared" si="96"/>
        <v>0.25530205325987149</v>
      </c>
      <c r="AE148" s="97">
        <f t="shared" si="97"/>
        <v>15.080106666666669</v>
      </c>
      <c r="AF148" s="96">
        <f t="shared" si="98"/>
        <v>5.0527423569767684</v>
      </c>
      <c r="AG148" s="96">
        <f t="shared" si="87"/>
        <v>0.12765102662993574</v>
      </c>
      <c r="AH148" s="96">
        <f t="shared" si="88"/>
        <v>4.2901817157346116</v>
      </c>
      <c r="AI148" s="98">
        <f t="shared" si="99"/>
        <v>4.4178327423645474</v>
      </c>
      <c r="AJ148" s="97">
        <f t="shared" si="100"/>
        <v>7.5200000000000005</v>
      </c>
      <c r="AK148" s="96">
        <f t="shared" si="101"/>
        <v>10.564563668682295</v>
      </c>
      <c r="AL148" s="96">
        <f t="shared" si="102"/>
        <v>0.48880000000000007</v>
      </c>
      <c r="AM148" s="96">
        <f t="shared" si="89"/>
        <v>4.8104000000000005</v>
      </c>
      <c r="AN148" s="98">
        <f t="shared" si="103"/>
        <v>5.2992000000000008</v>
      </c>
      <c r="AO148" s="97">
        <f t="shared" si="90"/>
        <v>0.1021208213039486</v>
      </c>
      <c r="AP148" s="96">
        <f t="shared" si="91"/>
        <v>0.12150000000000002</v>
      </c>
      <c r="AQ148" s="98">
        <f t="shared" si="104"/>
        <v>8.0999999999999996E-3</v>
      </c>
      <c r="AR148" s="97">
        <f t="shared" si="105"/>
        <v>9.9487535636684967</v>
      </c>
      <c r="AS148" s="96">
        <f t="shared" si="106"/>
        <v>90.240000000000009</v>
      </c>
      <c r="AT148" s="98">
        <f t="shared" si="107"/>
        <v>90.069989684674326</v>
      </c>
    </row>
    <row r="149" spans="17:46" x14ac:dyDescent="0.3">
      <c r="Q149" s="32">
        <v>142</v>
      </c>
      <c r="R149" s="97">
        <f t="shared" si="80"/>
        <v>12</v>
      </c>
      <c r="S149" s="96">
        <f t="shared" si="81"/>
        <v>7.5733333333333341</v>
      </c>
      <c r="T149" s="96">
        <f t="shared" si="82"/>
        <v>18</v>
      </c>
      <c r="U149" s="98">
        <f t="shared" si="83"/>
        <v>5.0488888888888894</v>
      </c>
      <c r="V149" s="97">
        <f t="shared" si="84"/>
        <v>2</v>
      </c>
      <c r="W149" s="96">
        <f t="shared" si="85"/>
        <v>0.4</v>
      </c>
      <c r="X149" s="98">
        <f t="shared" si="86"/>
        <v>0.6</v>
      </c>
      <c r="Y149" s="97">
        <f t="shared" si="92"/>
        <v>2.1818181818181821</v>
      </c>
      <c r="Z149" s="96">
        <f t="shared" si="93"/>
        <v>14.804040404040405</v>
      </c>
      <c r="AA149" s="96">
        <f t="shared" si="94"/>
        <v>5.0880225262101302</v>
      </c>
      <c r="AB149" s="96">
        <v>0</v>
      </c>
      <c r="AC149" s="96">
        <f t="shared" si="95"/>
        <v>0.25887973227221717</v>
      </c>
      <c r="AD149" s="98">
        <f t="shared" si="96"/>
        <v>0.25887973227221717</v>
      </c>
      <c r="AE149" s="97">
        <f t="shared" si="97"/>
        <v>15.294767407407413</v>
      </c>
      <c r="AF149" s="96">
        <f t="shared" si="98"/>
        <v>5.0880225262101302</v>
      </c>
      <c r="AG149" s="96">
        <f t="shared" si="87"/>
        <v>0.12943986613610858</v>
      </c>
      <c r="AH149" s="96">
        <f t="shared" si="88"/>
        <v>4.3206085364135802</v>
      </c>
      <c r="AI149" s="98">
        <f t="shared" si="99"/>
        <v>4.4500484025496885</v>
      </c>
      <c r="AJ149" s="97">
        <f t="shared" si="100"/>
        <v>7.5733333333333341</v>
      </c>
      <c r="AK149" s="96">
        <f t="shared" si="101"/>
        <v>10.633343725077035</v>
      </c>
      <c r="AL149" s="96">
        <f t="shared" si="102"/>
        <v>0.49226666666666674</v>
      </c>
      <c r="AM149" s="96">
        <f t="shared" si="89"/>
        <v>4.8104000000000005</v>
      </c>
      <c r="AN149" s="98">
        <f t="shared" si="103"/>
        <v>5.3026666666666671</v>
      </c>
      <c r="AO149" s="97">
        <f t="shared" si="90"/>
        <v>0.10355189290888686</v>
      </c>
      <c r="AP149" s="96">
        <f t="shared" si="91"/>
        <v>0.12150000000000002</v>
      </c>
      <c r="AQ149" s="98">
        <f t="shared" si="104"/>
        <v>8.0999999999999996E-3</v>
      </c>
      <c r="AR149" s="97">
        <f t="shared" si="105"/>
        <v>9.9858669621252432</v>
      </c>
      <c r="AS149" s="96">
        <f t="shared" si="106"/>
        <v>90.88000000000001</v>
      </c>
      <c r="AT149" s="98">
        <f t="shared" si="107"/>
        <v>90.099855121579537</v>
      </c>
    </row>
    <row r="150" spans="17:46" x14ac:dyDescent="0.3">
      <c r="Q150" s="32">
        <v>143</v>
      </c>
      <c r="R150" s="97">
        <f t="shared" si="80"/>
        <v>12</v>
      </c>
      <c r="S150" s="96">
        <f t="shared" si="81"/>
        <v>7.6266666666666669</v>
      </c>
      <c r="T150" s="96">
        <f t="shared" si="82"/>
        <v>18</v>
      </c>
      <c r="U150" s="98">
        <f t="shared" si="83"/>
        <v>5.0844444444444452</v>
      </c>
      <c r="V150" s="97">
        <f t="shared" si="84"/>
        <v>2</v>
      </c>
      <c r="W150" s="96">
        <f t="shared" si="85"/>
        <v>0.4</v>
      </c>
      <c r="X150" s="98">
        <f t="shared" si="86"/>
        <v>0.6</v>
      </c>
      <c r="Y150" s="97">
        <f t="shared" si="92"/>
        <v>2.1818181818181821</v>
      </c>
      <c r="Z150" s="96">
        <f t="shared" si="93"/>
        <v>14.892929292929294</v>
      </c>
      <c r="AA150" s="96">
        <f t="shared" si="94"/>
        <v>5.1233065029839873</v>
      </c>
      <c r="AB150" s="96">
        <v>0</v>
      </c>
      <c r="AC150" s="96">
        <f t="shared" si="95"/>
        <v>0.26248269523518014</v>
      </c>
      <c r="AD150" s="98">
        <f t="shared" si="96"/>
        <v>0.26248269523518014</v>
      </c>
      <c r="AE150" s="97">
        <f t="shared" si="97"/>
        <v>15.510945185185188</v>
      </c>
      <c r="AF150" s="96">
        <f t="shared" si="98"/>
        <v>5.1233065029839873</v>
      </c>
      <c r="AG150" s="96">
        <f t="shared" si="87"/>
        <v>0.13124134761759007</v>
      </c>
      <c r="AH150" s="96">
        <f t="shared" si="88"/>
        <v>4.3510353570925488</v>
      </c>
      <c r="AI150" s="98">
        <f t="shared" si="99"/>
        <v>4.4822767047101388</v>
      </c>
      <c r="AJ150" s="97">
        <f t="shared" si="100"/>
        <v>7.6266666666666669</v>
      </c>
      <c r="AK150" s="96">
        <f t="shared" si="101"/>
        <v>10.702124720031527</v>
      </c>
      <c r="AL150" s="96">
        <f t="shared" si="102"/>
        <v>0.49573333333333336</v>
      </c>
      <c r="AM150" s="96">
        <f t="shared" si="89"/>
        <v>4.8104000000000005</v>
      </c>
      <c r="AN150" s="98">
        <f t="shared" si="103"/>
        <v>5.3061333333333334</v>
      </c>
      <c r="AO150" s="97">
        <f t="shared" si="90"/>
        <v>0.10499307809407205</v>
      </c>
      <c r="AP150" s="96">
        <f t="shared" si="91"/>
        <v>0.12150000000000002</v>
      </c>
      <c r="AQ150" s="98">
        <f t="shared" si="104"/>
        <v>8.0999999999999996E-3</v>
      </c>
      <c r="AR150" s="97">
        <f t="shared" si="105"/>
        <v>10.023003116137545</v>
      </c>
      <c r="AS150" s="96">
        <f t="shared" si="106"/>
        <v>91.52000000000001</v>
      </c>
      <c r="AT150" s="98">
        <f t="shared" si="107"/>
        <v>90.129302060651128</v>
      </c>
    </row>
    <row r="151" spans="17:46" x14ac:dyDescent="0.3">
      <c r="Q151" s="32">
        <v>144</v>
      </c>
      <c r="R151" s="97">
        <f t="shared" si="80"/>
        <v>12</v>
      </c>
      <c r="S151" s="96">
        <f t="shared" si="81"/>
        <v>7.6800000000000006</v>
      </c>
      <c r="T151" s="96">
        <f t="shared" si="82"/>
        <v>18</v>
      </c>
      <c r="U151" s="98">
        <f t="shared" si="83"/>
        <v>5.120000000000001</v>
      </c>
      <c r="V151" s="97">
        <f t="shared" si="84"/>
        <v>2</v>
      </c>
      <c r="W151" s="96">
        <f t="shared" si="85"/>
        <v>0.4</v>
      </c>
      <c r="X151" s="98">
        <f t="shared" si="86"/>
        <v>0.6</v>
      </c>
      <c r="Y151" s="97">
        <f t="shared" si="92"/>
        <v>2.1818181818181821</v>
      </c>
      <c r="Z151" s="96">
        <f t="shared" si="93"/>
        <v>14.981818181818182</v>
      </c>
      <c r="AA151" s="96">
        <f t="shared" si="94"/>
        <v>5.1585942091693973</v>
      </c>
      <c r="AB151" s="96">
        <v>0</v>
      </c>
      <c r="AC151" s="96">
        <f t="shared" si="95"/>
        <v>0.26611094214876041</v>
      </c>
      <c r="AD151" s="98">
        <f t="shared" si="96"/>
        <v>0.26611094214876041</v>
      </c>
      <c r="AE151" s="97">
        <f t="shared" si="97"/>
        <v>15.728640000000006</v>
      </c>
      <c r="AF151" s="96">
        <f t="shared" si="98"/>
        <v>5.1585942091693973</v>
      </c>
      <c r="AG151" s="96">
        <f t="shared" si="87"/>
        <v>0.1330554710743802</v>
      </c>
      <c r="AH151" s="96">
        <f t="shared" si="88"/>
        <v>4.3814621777715175</v>
      </c>
      <c r="AI151" s="98">
        <f t="shared" si="99"/>
        <v>4.5145176488458976</v>
      </c>
      <c r="AJ151" s="97">
        <f t="shared" si="100"/>
        <v>7.6800000000000006</v>
      </c>
      <c r="AK151" s="96">
        <f t="shared" si="101"/>
        <v>10.770906635565371</v>
      </c>
      <c r="AL151" s="96">
        <f t="shared" si="102"/>
        <v>0.49920000000000003</v>
      </c>
      <c r="AM151" s="96">
        <f t="shared" si="89"/>
        <v>4.8104000000000005</v>
      </c>
      <c r="AN151" s="98">
        <f t="shared" si="103"/>
        <v>5.3096000000000005</v>
      </c>
      <c r="AO151" s="97">
        <f t="shared" si="90"/>
        <v>0.10644437685950417</v>
      </c>
      <c r="AP151" s="96">
        <f t="shared" si="91"/>
        <v>0.12150000000000002</v>
      </c>
      <c r="AQ151" s="98">
        <f t="shared" si="104"/>
        <v>8.0999999999999996E-3</v>
      </c>
      <c r="AR151" s="97">
        <f t="shared" si="105"/>
        <v>10.060162025705402</v>
      </c>
      <c r="AS151" s="96">
        <f t="shared" si="106"/>
        <v>92.160000000000011</v>
      </c>
      <c r="AT151" s="98">
        <f t="shared" si="107"/>
        <v>90.158338798978278</v>
      </c>
    </row>
    <row r="152" spans="17:46" x14ac:dyDescent="0.3">
      <c r="Q152" s="32">
        <v>145</v>
      </c>
      <c r="R152" s="97">
        <f t="shared" si="80"/>
        <v>12</v>
      </c>
      <c r="S152" s="96">
        <f t="shared" si="81"/>
        <v>7.7333333333333334</v>
      </c>
      <c r="T152" s="96">
        <f t="shared" si="82"/>
        <v>18</v>
      </c>
      <c r="U152" s="98">
        <f t="shared" si="83"/>
        <v>5.155555555555555</v>
      </c>
      <c r="V152" s="97">
        <f t="shared" si="84"/>
        <v>2</v>
      </c>
      <c r="W152" s="96">
        <f t="shared" si="85"/>
        <v>0.4</v>
      </c>
      <c r="X152" s="98">
        <f t="shared" si="86"/>
        <v>0.6</v>
      </c>
      <c r="Y152" s="97">
        <f t="shared" si="92"/>
        <v>2.1818181818181821</v>
      </c>
      <c r="Z152" s="96">
        <f t="shared" si="93"/>
        <v>15.070707070707071</v>
      </c>
      <c r="AA152" s="96">
        <f t="shared" si="94"/>
        <v>5.1938855687525285</v>
      </c>
      <c r="AB152" s="96">
        <v>0</v>
      </c>
      <c r="AC152" s="96">
        <f t="shared" si="95"/>
        <v>0.26976447301295781</v>
      </c>
      <c r="AD152" s="98">
        <f t="shared" si="96"/>
        <v>0.26976447301295781</v>
      </c>
      <c r="AE152" s="97">
        <f t="shared" si="97"/>
        <v>15.947851851851851</v>
      </c>
      <c r="AF152" s="96">
        <f t="shared" si="98"/>
        <v>5.1938855687525285</v>
      </c>
      <c r="AG152" s="96">
        <f t="shared" si="87"/>
        <v>0.1348822365064789</v>
      </c>
      <c r="AH152" s="96">
        <f t="shared" si="88"/>
        <v>4.411888998450487</v>
      </c>
      <c r="AI152" s="98">
        <f t="shared" si="99"/>
        <v>4.5467712349569656</v>
      </c>
      <c r="AJ152" s="97">
        <f t="shared" si="100"/>
        <v>7.7333333333333334</v>
      </c>
      <c r="AK152" s="96">
        <f t="shared" si="101"/>
        <v>10.839689454154295</v>
      </c>
      <c r="AL152" s="96">
        <f t="shared" si="102"/>
        <v>0.50266666666666671</v>
      </c>
      <c r="AM152" s="96">
        <f t="shared" si="89"/>
        <v>4.8104000000000005</v>
      </c>
      <c r="AN152" s="98">
        <f t="shared" si="103"/>
        <v>5.3130666666666668</v>
      </c>
      <c r="AO152" s="97">
        <f t="shared" si="90"/>
        <v>0.10790578920518311</v>
      </c>
      <c r="AP152" s="96">
        <f t="shared" si="91"/>
        <v>0.12150000000000002</v>
      </c>
      <c r="AQ152" s="98">
        <f t="shared" si="104"/>
        <v>8.0999999999999996E-3</v>
      </c>
      <c r="AR152" s="97">
        <f t="shared" si="105"/>
        <v>10.097343690828815</v>
      </c>
      <c r="AS152" s="96">
        <f t="shared" si="106"/>
        <v>92.8</v>
      </c>
      <c r="AT152" s="98">
        <f t="shared" si="107"/>
        <v>90.186973415788202</v>
      </c>
    </row>
    <row r="153" spans="17:46" x14ac:dyDescent="0.3">
      <c r="Q153" s="32">
        <v>146</v>
      </c>
      <c r="R153" s="97">
        <f t="shared" si="80"/>
        <v>12</v>
      </c>
      <c r="S153" s="96">
        <f t="shared" si="81"/>
        <v>7.7866666666666671</v>
      </c>
      <c r="T153" s="96">
        <f t="shared" si="82"/>
        <v>18</v>
      </c>
      <c r="U153" s="98">
        <f t="shared" si="83"/>
        <v>5.1911111111111108</v>
      </c>
      <c r="V153" s="97">
        <f t="shared" si="84"/>
        <v>2</v>
      </c>
      <c r="W153" s="96">
        <f t="shared" si="85"/>
        <v>0.4</v>
      </c>
      <c r="X153" s="98">
        <f t="shared" si="86"/>
        <v>0.6</v>
      </c>
      <c r="Y153" s="97">
        <f t="shared" si="92"/>
        <v>2.1818181818181821</v>
      </c>
      <c r="Z153" s="96">
        <f t="shared" si="93"/>
        <v>15.15959595959596</v>
      </c>
      <c r="AA153" s="96">
        <f t="shared" si="94"/>
        <v>5.2291805077638376</v>
      </c>
      <c r="AB153" s="96">
        <v>0</v>
      </c>
      <c r="AC153" s="96">
        <f t="shared" si="95"/>
        <v>0.27344328782777266</v>
      </c>
      <c r="AD153" s="98">
        <f t="shared" si="96"/>
        <v>0.27344328782777266</v>
      </c>
      <c r="AE153" s="97">
        <f t="shared" si="97"/>
        <v>16.16858074074074</v>
      </c>
      <c r="AF153" s="96">
        <f t="shared" si="98"/>
        <v>5.2291805077638376</v>
      </c>
      <c r="AG153" s="96">
        <f t="shared" si="87"/>
        <v>0.13672164391388633</v>
      </c>
      <c r="AH153" s="96">
        <f t="shared" si="88"/>
        <v>4.4423158191294547</v>
      </c>
      <c r="AI153" s="98">
        <f t="shared" si="99"/>
        <v>4.579037463043341</v>
      </c>
      <c r="AJ153" s="97">
        <f t="shared" si="100"/>
        <v>7.7866666666666671</v>
      </c>
      <c r="AK153" s="96">
        <f t="shared" si="101"/>
        <v>10.908473158715799</v>
      </c>
      <c r="AL153" s="96">
        <f t="shared" si="102"/>
        <v>0.50613333333333332</v>
      </c>
      <c r="AM153" s="96">
        <f t="shared" si="89"/>
        <v>4.8104000000000005</v>
      </c>
      <c r="AN153" s="98">
        <f t="shared" si="103"/>
        <v>5.316533333333334</v>
      </c>
      <c r="AO153" s="97">
        <f t="shared" si="90"/>
        <v>0.10937731513110907</v>
      </c>
      <c r="AP153" s="96">
        <f t="shared" si="91"/>
        <v>0.12150000000000002</v>
      </c>
      <c r="AQ153" s="98">
        <f t="shared" si="104"/>
        <v>8.0999999999999996E-3</v>
      </c>
      <c r="AR153" s="97">
        <f t="shared" si="105"/>
        <v>10.134548111507783</v>
      </c>
      <c r="AS153" s="96">
        <f t="shared" si="106"/>
        <v>93.44</v>
      </c>
      <c r="AT153" s="98">
        <f t="shared" si="107"/>
        <v>90.215213779550368</v>
      </c>
    </row>
    <row r="154" spans="17:46" x14ac:dyDescent="0.3">
      <c r="Q154" s="32">
        <v>147</v>
      </c>
      <c r="R154" s="97">
        <f t="shared" si="80"/>
        <v>12</v>
      </c>
      <c r="S154" s="96">
        <f t="shared" si="81"/>
        <v>7.8400000000000007</v>
      </c>
      <c r="T154" s="96">
        <f t="shared" si="82"/>
        <v>18</v>
      </c>
      <c r="U154" s="98">
        <f t="shared" si="83"/>
        <v>5.2266666666666675</v>
      </c>
      <c r="V154" s="97">
        <f t="shared" si="84"/>
        <v>2</v>
      </c>
      <c r="W154" s="96">
        <f t="shared" si="85"/>
        <v>0.4</v>
      </c>
      <c r="X154" s="98">
        <f t="shared" si="86"/>
        <v>0.6</v>
      </c>
      <c r="Y154" s="97">
        <f t="shared" si="92"/>
        <v>2.1818181818181821</v>
      </c>
      <c r="Z154" s="96">
        <f t="shared" si="93"/>
        <v>15.24848484848485</v>
      </c>
      <c r="AA154" s="96">
        <f t="shared" si="94"/>
        <v>5.2644789542100447</v>
      </c>
      <c r="AB154" s="96">
        <v>0</v>
      </c>
      <c r="AC154" s="96">
        <f t="shared" si="95"/>
        <v>0.27714738659320487</v>
      </c>
      <c r="AD154" s="98">
        <f t="shared" si="96"/>
        <v>0.27714738659320487</v>
      </c>
      <c r="AE154" s="97">
        <f t="shared" si="97"/>
        <v>16.390826666666673</v>
      </c>
      <c r="AF154" s="96">
        <f t="shared" si="98"/>
        <v>5.2644789542100447</v>
      </c>
      <c r="AG154" s="96">
        <f t="shared" si="87"/>
        <v>0.13857369329660243</v>
      </c>
      <c r="AH154" s="96">
        <f t="shared" si="88"/>
        <v>4.4727426398084251</v>
      </c>
      <c r="AI154" s="98">
        <f t="shared" si="99"/>
        <v>4.6113163331050275</v>
      </c>
      <c r="AJ154" s="97">
        <f t="shared" si="100"/>
        <v>7.8400000000000007</v>
      </c>
      <c r="AK154" s="96">
        <f t="shared" si="101"/>
        <v>10.977257732595318</v>
      </c>
      <c r="AL154" s="96">
        <f t="shared" si="102"/>
        <v>0.50960000000000005</v>
      </c>
      <c r="AM154" s="96">
        <f t="shared" si="89"/>
        <v>4.8104000000000005</v>
      </c>
      <c r="AN154" s="98">
        <f t="shared" si="103"/>
        <v>5.32</v>
      </c>
      <c r="AO154" s="97">
        <f t="shared" si="90"/>
        <v>0.11085895463728195</v>
      </c>
      <c r="AP154" s="96">
        <f t="shared" si="91"/>
        <v>0.12150000000000002</v>
      </c>
      <c r="AQ154" s="98">
        <f t="shared" si="104"/>
        <v>8.0999999999999996E-3</v>
      </c>
      <c r="AR154" s="97">
        <f t="shared" si="105"/>
        <v>10.17177528774231</v>
      </c>
      <c r="AS154" s="96">
        <f t="shared" si="106"/>
        <v>94.080000000000013</v>
      </c>
      <c r="AT154" s="98">
        <f t="shared" si="107"/>
        <v>90.243067554804242</v>
      </c>
    </row>
    <row r="155" spans="17:46" x14ac:dyDescent="0.3">
      <c r="Q155" s="32">
        <v>148</v>
      </c>
      <c r="R155" s="97">
        <f t="shared" si="80"/>
        <v>12</v>
      </c>
      <c r="S155" s="96">
        <f t="shared" si="81"/>
        <v>7.8933333333333335</v>
      </c>
      <c r="T155" s="96">
        <f t="shared" si="82"/>
        <v>18</v>
      </c>
      <c r="U155" s="98">
        <f t="shared" si="83"/>
        <v>5.2622222222222224</v>
      </c>
      <c r="V155" s="97">
        <f t="shared" si="84"/>
        <v>2</v>
      </c>
      <c r="W155" s="96">
        <f t="shared" si="85"/>
        <v>0.4</v>
      </c>
      <c r="X155" s="98">
        <f t="shared" si="86"/>
        <v>0.6</v>
      </c>
      <c r="Y155" s="97">
        <f t="shared" si="92"/>
        <v>2.1818181818181821</v>
      </c>
      <c r="Z155" s="96">
        <f t="shared" si="93"/>
        <v>15.337373737373737</v>
      </c>
      <c r="AA155" s="96">
        <f t="shared" si="94"/>
        <v>5.2997808380088145</v>
      </c>
      <c r="AB155" s="96">
        <v>0</v>
      </c>
      <c r="AC155" s="96">
        <f t="shared" si="95"/>
        <v>0.28087676930925415</v>
      </c>
      <c r="AD155" s="98">
        <f t="shared" si="96"/>
        <v>0.28087676930925415</v>
      </c>
      <c r="AE155" s="97">
        <f t="shared" si="97"/>
        <v>16.614589629629631</v>
      </c>
      <c r="AF155" s="96">
        <f t="shared" si="98"/>
        <v>5.2997808380088145</v>
      </c>
      <c r="AG155" s="96">
        <f t="shared" si="87"/>
        <v>0.14043838465462707</v>
      </c>
      <c r="AH155" s="96">
        <f t="shared" si="88"/>
        <v>4.5031694604873929</v>
      </c>
      <c r="AI155" s="98">
        <f t="shared" si="99"/>
        <v>4.6436078451420197</v>
      </c>
      <c r="AJ155" s="97">
        <f t="shared" si="100"/>
        <v>7.8933333333333335</v>
      </c>
      <c r="AK155" s="96">
        <f t="shared" si="101"/>
        <v>11.046043159552919</v>
      </c>
      <c r="AL155" s="96">
        <f t="shared" si="102"/>
        <v>0.51306666666666667</v>
      </c>
      <c r="AM155" s="96">
        <f t="shared" si="89"/>
        <v>4.8104000000000005</v>
      </c>
      <c r="AN155" s="98">
        <f t="shared" si="103"/>
        <v>5.3234666666666675</v>
      </c>
      <c r="AO155" s="97">
        <f t="shared" si="90"/>
        <v>0.11235070772370165</v>
      </c>
      <c r="AP155" s="96">
        <f t="shared" si="91"/>
        <v>0.12150000000000002</v>
      </c>
      <c r="AQ155" s="98">
        <f t="shared" si="104"/>
        <v>8.0999999999999996E-3</v>
      </c>
      <c r="AR155" s="97">
        <f t="shared" si="105"/>
        <v>10.209025219532389</v>
      </c>
      <c r="AS155" s="96">
        <f t="shared" si="106"/>
        <v>94.72</v>
      </c>
      <c r="AT155" s="98">
        <f t="shared" si="107"/>
        <v>90.270542208723398</v>
      </c>
    </row>
    <row r="156" spans="17:46" x14ac:dyDescent="0.3">
      <c r="Q156" s="32">
        <v>149</v>
      </c>
      <c r="R156" s="97">
        <f t="shared" si="80"/>
        <v>12</v>
      </c>
      <c r="S156" s="96">
        <f t="shared" si="81"/>
        <v>7.9466666666666672</v>
      </c>
      <c r="T156" s="96">
        <f t="shared" si="82"/>
        <v>18</v>
      </c>
      <c r="U156" s="98">
        <f t="shared" si="83"/>
        <v>5.2977777777777781</v>
      </c>
      <c r="V156" s="97">
        <f t="shared" si="84"/>
        <v>2</v>
      </c>
      <c r="W156" s="96">
        <f t="shared" si="85"/>
        <v>0.4</v>
      </c>
      <c r="X156" s="98">
        <f t="shared" si="86"/>
        <v>0.6</v>
      </c>
      <c r="Y156" s="97">
        <f t="shared" si="92"/>
        <v>2.1818181818181821</v>
      </c>
      <c r="Z156" s="96">
        <f t="shared" si="93"/>
        <v>15.426262626262627</v>
      </c>
      <c r="AA156" s="96">
        <f t="shared" si="94"/>
        <v>5.3350860909260014</v>
      </c>
      <c r="AB156" s="96">
        <v>0</v>
      </c>
      <c r="AC156" s="96">
        <f t="shared" si="95"/>
        <v>0.28463143597592083</v>
      </c>
      <c r="AD156" s="98">
        <f t="shared" si="96"/>
        <v>0.28463143597592083</v>
      </c>
      <c r="AE156" s="97">
        <f t="shared" si="97"/>
        <v>16.839869629629632</v>
      </c>
      <c r="AF156" s="96">
        <f t="shared" si="98"/>
        <v>5.3350860909260014</v>
      </c>
      <c r="AG156" s="96">
        <f t="shared" si="87"/>
        <v>0.14231571798796042</v>
      </c>
      <c r="AH156" s="96">
        <f t="shared" si="88"/>
        <v>4.5335962811663624</v>
      </c>
      <c r="AI156" s="98">
        <f t="shared" si="99"/>
        <v>4.675911999154323</v>
      </c>
      <c r="AJ156" s="97">
        <f t="shared" si="100"/>
        <v>7.9466666666666672</v>
      </c>
      <c r="AK156" s="96">
        <f t="shared" si="101"/>
        <v>11.114829423750482</v>
      </c>
      <c r="AL156" s="96">
        <f t="shared" si="102"/>
        <v>0.5165333333333334</v>
      </c>
      <c r="AM156" s="96">
        <f t="shared" si="89"/>
        <v>4.8104000000000005</v>
      </c>
      <c r="AN156" s="98">
        <f t="shared" si="103"/>
        <v>5.3269333333333337</v>
      </c>
      <c r="AO156" s="97">
        <f t="shared" si="90"/>
        <v>0.11385257439036833</v>
      </c>
      <c r="AP156" s="96">
        <f t="shared" si="91"/>
        <v>0.12150000000000002</v>
      </c>
      <c r="AQ156" s="98">
        <f t="shared" si="104"/>
        <v>8.0999999999999996E-3</v>
      </c>
      <c r="AR156" s="97">
        <f t="shared" si="105"/>
        <v>10.246297906878025</v>
      </c>
      <c r="AS156" s="96">
        <f t="shared" si="106"/>
        <v>95.360000000000014</v>
      </c>
      <c r="AT156" s="98">
        <f t="shared" si="107"/>
        <v>90.297645017427797</v>
      </c>
    </row>
    <row r="157" spans="17:46" ht="15" thickBot="1" x14ac:dyDescent="0.35">
      <c r="Q157" s="32">
        <v>150</v>
      </c>
      <c r="R157" s="99">
        <f t="shared" si="80"/>
        <v>12</v>
      </c>
      <c r="S157" s="100">
        <f t="shared" si="81"/>
        <v>8</v>
      </c>
      <c r="T157" s="100">
        <f t="shared" si="82"/>
        <v>18</v>
      </c>
      <c r="U157" s="101">
        <f t="shared" si="83"/>
        <v>5.333333333333333</v>
      </c>
      <c r="V157" s="97">
        <f t="shared" si="84"/>
        <v>2</v>
      </c>
      <c r="W157" s="96">
        <f t="shared" si="85"/>
        <v>0.4</v>
      </c>
      <c r="X157" s="98">
        <f t="shared" si="86"/>
        <v>0.6</v>
      </c>
      <c r="Y157" s="97">
        <f t="shared" si="92"/>
        <v>2.1818181818181821</v>
      </c>
      <c r="Z157" s="96">
        <f t="shared" si="93"/>
        <v>15.515151515151514</v>
      </c>
      <c r="AA157" s="96">
        <f t="shared" si="94"/>
        <v>5.3703946465153258</v>
      </c>
      <c r="AB157" s="96">
        <v>0</v>
      </c>
      <c r="AC157" s="96">
        <f t="shared" si="95"/>
        <v>0.2884113865932047</v>
      </c>
      <c r="AD157" s="98">
        <f t="shared" si="96"/>
        <v>0.2884113865932047</v>
      </c>
      <c r="AE157" s="97">
        <f t="shared" si="97"/>
        <v>17.066666666666666</v>
      </c>
      <c r="AF157" s="96">
        <f t="shared" si="98"/>
        <v>5.3703946465153258</v>
      </c>
      <c r="AG157" s="96">
        <f t="shared" si="87"/>
        <v>0.14420569329660235</v>
      </c>
      <c r="AH157" s="96">
        <f t="shared" si="88"/>
        <v>4.5640231018453301</v>
      </c>
      <c r="AI157" s="98">
        <f t="shared" si="99"/>
        <v>4.7082287951419328</v>
      </c>
      <c r="AJ157" s="97">
        <f t="shared" si="100"/>
        <v>8</v>
      </c>
      <c r="AK157" s="96">
        <f t="shared" si="101"/>
        <v>11.18361650973935</v>
      </c>
      <c r="AL157" s="96">
        <f t="shared" si="102"/>
        <v>0.52</v>
      </c>
      <c r="AM157" s="96">
        <f t="shared" si="89"/>
        <v>4.8104000000000005</v>
      </c>
      <c r="AN157" s="98">
        <f t="shared" si="103"/>
        <v>5.3304000000000009</v>
      </c>
      <c r="AO157" s="97">
        <f t="shared" si="90"/>
        <v>0.11536455463728189</v>
      </c>
      <c r="AP157" s="96">
        <f t="shared" si="91"/>
        <v>0.12150000000000002</v>
      </c>
      <c r="AQ157" s="98">
        <f t="shared" si="104"/>
        <v>8.0999999999999996E-3</v>
      </c>
      <c r="AR157" s="97">
        <f t="shared" si="105"/>
        <v>10.283593349779215</v>
      </c>
      <c r="AS157" s="96">
        <f t="shared" si="106"/>
        <v>96</v>
      </c>
      <c r="AT157" s="98">
        <f t="shared" si="107"/>
        <v>90.324383072055241</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6640625" customWidth="1"/>
    <col min="2" max="2" width="25" customWidth="1"/>
    <col min="8" max="10" width="8.88671875" style="32"/>
    <col min="15" max="15" width="16.5546875" style="52" bestFit="1" customWidth="1"/>
    <col min="16" max="16" width="16.5546875" customWidth="1"/>
    <col min="29" max="29" width="8.88671875" style="32"/>
    <col min="32" max="37" width="8.6640625" style="32"/>
    <col min="38" max="38" width="11.44140625" style="32" bestFit="1" customWidth="1"/>
    <col min="39" max="40" width="8.6640625" style="32"/>
    <col min="41" max="41" width="13.109375" style="32" bestFit="1" customWidth="1"/>
    <col min="42" max="44" width="8.6640625" style="32"/>
    <col min="46" max="46" width="10.109375" customWidth="1"/>
    <col min="47" max="47" width="12" bestFit="1" customWidth="1"/>
    <col min="55" max="55" width="8.88671875" style="32"/>
    <col min="58" max="58" width="8.886718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56" t="s">
        <v>584</v>
      </c>
      <c r="AG2" s="256"/>
      <c r="AH2" s="256"/>
      <c r="AI2" s="256"/>
      <c r="AJ2" s="256"/>
      <c r="AK2" s="256"/>
      <c r="AL2" s="256"/>
      <c r="AM2" s="256"/>
      <c r="AN2" s="256"/>
      <c r="AO2" s="256"/>
      <c r="AP2" s="256"/>
      <c r="AQ2" s="256"/>
      <c r="AR2" s="256"/>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6" t="s">
        <v>222</v>
      </c>
      <c r="Q4" s="246"/>
      <c r="R4" s="246"/>
      <c r="S4" s="246"/>
      <c r="T4" s="246"/>
      <c r="U4" s="246"/>
      <c r="V4" s="246"/>
      <c r="W4" s="246"/>
      <c r="X4" s="246"/>
      <c r="Y4" s="246"/>
      <c r="Z4" s="246"/>
      <c r="AA4" s="246"/>
      <c r="AB4" s="246"/>
      <c r="AC4" s="246"/>
      <c r="AD4" s="246"/>
      <c r="AE4" s="247"/>
      <c r="AF4" s="218"/>
      <c r="AG4" s="218"/>
      <c r="AH4" s="218"/>
      <c r="AI4" s="218"/>
      <c r="AJ4" s="218"/>
      <c r="AK4" s="218"/>
      <c r="AL4" s="218"/>
      <c r="AM4" s="218"/>
      <c r="AN4" s="218"/>
      <c r="AO4" s="218"/>
      <c r="AP4" s="218"/>
      <c r="AQ4" s="218"/>
      <c r="AR4" s="218"/>
      <c r="AS4" s="245" t="s">
        <v>223</v>
      </c>
      <c r="AT4" s="246"/>
      <c r="AU4" s="246"/>
      <c r="AV4" s="246"/>
      <c r="AW4" s="246"/>
      <c r="AX4" s="246"/>
      <c r="AY4" s="246"/>
      <c r="AZ4" s="246"/>
      <c r="BA4" s="246"/>
      <c r="BB4" s="246"/>
      <c r="BC4" s="246"/>
      <c r="BD4" s="246"/>
      <c r="BE4" s="247"/>
      <c r="BF4" s="245" t="s">
        <v>506</v>
      </c>
      <c r="BG4" s="246"/>
      <c r="BH4" s="247"/>
      <c r="BI4" s="245" t="s">
        <v>507</v>
      </c>
      <c r="BJ4" s="246"/>
      <c r="BK4" s="247"/>
      <c r="BL4" s="254" t="s">
        <v>508</v>
      </c>
      <c r="BM4" s="255"/>
    </row>
    <row r="5" spans="1:65" s="32" customFormat="1" x14ac:dyDescent="0.3">
      <c r="A5" s="12"/>
      <c r="D5" s="18"/>
      <c r="E5" s="12"/>
      <c r="F5" s="12"/>
      <c r="G5" s="12"/>
      <c r="H5" s="12"/>
      <c r="I5" s="12"/>
      <c r="J5" s="12"/>
      <c r="K5" s="12"/>
      <c r="L5" s="12"/>
      <c r="M5" s="12"/>
      <c r="N5" s="60"/>
      <c r="O5" s="63"/>
      <c r="P5" s="51"/>
      <c r="Q5" s="248" t="s">
        <v>214</v>
      </c>
      <c r="R5" s="248"/>
      <c r="S5" s="248"/>
      <c r="T5" s="244" t="s">
        <v>216</v>
      </c>
      <c r="U5" s="244"/>
      <c r="V5" s="244"/>
      <c r="W5" s="244" t="s">
        <v>216</v>
      </c>
      <c r="X5" s="244"/>
      <c r="Y5" s="244"/>
      <c r="Z5" s="244" t="s">
        <v>219</v>
      </c>
      <c r="AA5" s="244"/>
      <c r="AB5" s="244"/>
      <c r="AC5" s="252" t="s">
        <v>221</v>
      </c>
      <c r="AD5" s="244"/>
      <c r="AE5" s="253"/>
      <c r="AF5" s="217"/>
      <c r="AG5" s="248" t="s">
        <v>214</v>
      </c>
      <c r="AH5" s="248"/>
      <c r="AI5" s="248"/>
      <c r="AJ5" s="249" t="s">
        <v>216</v>
      </c>
      <c r="AK5" s="249"/>
      <c r="AL5" s="249"/>
      <c r="AM5" s="244" t="s">
        <v>258</v>
      </c>
      <c r="AN5" s="244"/>
      <c r="AO5" s="244"/>
      <c r="AP5" s="250" t="s">
        <v>221</v>
      </c>
      <c r="AQ5" s="249"/>
      <c r="AR5" s="251"/>
      <c r="AS5" s="51"/>
      <c r="AT5" s="244" t="s">
        <v>229</v>
      </c>
      <c r="AU5" s="244"/>
      <c r="AV5" s="244"/>
      <c r="AW5" s="244" t="s">
        <v>230</v>
      </c>
      <c r="AX5" s="244"/>
      <c r="AY5" s="244"/>
      <c r="AZ5" s="244" t="s">
        <v>224</v>
      </c>
      <c r="BA5" s="244"/>
      <c r="BB5" s="244"/>
      <c r="BC5" s="252" t="s">
        <v>221</v>
      </c>
      <c r="BD5" s="244"/>
      <c r="BE5" s="253"/>
      <c r="BF5" s="252" t="s">
        <v>221</v>
      </c>
      <c r="BG5" s="244"/>
      <c r="BH5" s="253"/>
      <c r="BI5" s="252" t="s">
        <v>221</v>
      </c>
      <c r="BJ5" s="244"/>
      <c r="BK5" s="253"/>
      <c r="BL5" s="252"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3500</v>
      </c>
      <c r="P7" s="88" t="str">
        <f>COMPLEX(ADC_VINmin,0)</f>
        <v>13.59375</v>
      </c>
      <c r="Q7" s="89" t="str">
        <f>IMSUM(COMPLEX(1,0),IMDIV(COMPLEX(0,2*PI()*O7),COMPLEX(wp_lf_VINmin,0)))</f>
        <v>1+7.29831243337081i</v>
      </c>
      <c r="R7" s="89">
        <f t="shared" ref="R7:R13" si="0">IMABS(Q7)</f>
        <v>7.3665028592334743</v>
      </c>
      <c r="S7" s="89">
        <f t="shared" ref="S7:S13" si="1">IMARGUMENT(Q7)</f>
        <v>1.4346262745869871</v>
      </c>
      <c r="T7" s="89" t="str">
        <f>IMSUM(COMPLEX(1,0),IMDIV(COMPLEX(0,2*PI()*O7),COMPLEX(wz_esr_VINmin,0)))</f>
        <v>1+0.0389243329779776i</v>
      </c>
      <c r="U7" s="89">
        <f t="shared" ref="U7:U13" si="2">IMABS(T7)</f>
        <v>1.0007572651236565</v>
      </c>
      <c r="V7" s="89">
        <f t="shared" ref="V7:V13" si="3">IMARGUMENT(T7)</f>
        <v>3.8904692695517669E-2</v>
      </c>
      <c r="W7" s="87" t="str">
        <f>IMSUB(COMPLEX(1,0),IMDIV(COMPLEX(0,2*PI()*O7),COMPLEX(wz_RHP_VINmin,0)))</f>
        <v>1-0.181426975744811i</v>
      </c>
      <c r="X7" s="89">
        <f t="shared" ref="X7:X13" si="4">IMABS(W7)</f>
        <v>1.0163246270399573</v>
      </c>
      <c r="Y7" s="89">
        <f t="shared" ref="Y7:Y13" si="5">IMARGUMENT(W7)</f>
        <v>-0.17947478625627339</v>
      </c>
      <c r="Z7" s="87" t="str">
        <f>IMSUM(COMPLEX(1,0),IMDIV(COMPLEX(0,2*PI()*O7),COMPLEX(Q_VINmin*(wsl_VINmin/2),0)),IMDIV(IMPOWER(COMPLEX(0,2*PI()*O7),2),IMPOWER(COMPLEX(wsl_VINmin/2,0),2)))</f>
        <v>0.999951+0.0340772089426621i</v>
      </c>
      <c r="AA7" s="89">
        <f t="shared" ref="AA7:AA13" si="6">IMABS(Z7)</f>
        <v>1.0005314880453897</v>
      </c>
      <c r="AB7" s="89">
        <f t="shared" ref="AB7:AB13" si="7">IMARGUMENT(Z7)</f>
        <v>3.4065695264146031E-2</v>
      </c>
      <c r="AC7" s="90" t="str">
        <f t="shared" ref="AC7:AC13" si="8">(IMDIV(IMPRODUCT(P7,T7,W7),IMPRODUCT(Q7,Z7)))</f>
        <v>-0.07213986198581-1.87450664220158i</v>
      </c>
      <c r="AD7" s="91">
        <f t="shared" ref="AD7:AD13" si="9">20*LOG(IMABS(AC7))</f>
        <v>5.4641671355441845</v>
      </c>
      <c r="AE7" s="92">
        <f t="shared" ref="AE7:AE13" si="10">(180/PI())*IMARGUMENT(AC7)</f>
        <v>-92.203924364015464</v>
      </c>
      <c r="AF7" s="51" t="e">
        <f>COMPLEX($B$68,0)</f>
        <v>#NUM!</v>
      </c>
      <c r="AG7" s="51" t="str">
        <f t="shared" ref="AG7:AG13" si="11">IMSUM(COMPLEX(1,0),IMDIV(COMPLEX(0,2*PI()*O7),COMPLEX(wp_lf_DCM,0)))</f>
        <v>1-11.6772998933933i</v>
      </c>
      <c r="AH7" s="51">
        <f>IMABS(AG7)</f>
        <v>11.720039795164658</v>
      </c>
      <c r="AI7" s="51">
        <f>IMARGUMENT(AG7)</f>
        <v>-1.4853685149098794</v>
      </c>
      <c r="AJ7" s="51" t="str">
        <f t="shared" ref="AJ7:AJ13" si="12">IMSUM(COMPLEX(1,0),IMDIV(COMPLEX(0,2*PI()*O7),COMPLEX(wz1_dcm,0)))</f>
        <v>1+0.0389243329779776i</v>
      </c>
      <c r="AK7" s="51">
        <f>IMABS(AJ7)</f>
        <v>1.0007572651236565</v>
      </c>
      <c r="AL7" s="51">
        <f>IMARGUMENT(AJ7)</f>
        <v>3.8904692695517669E-2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-0.000170731707317073</v>
      </c>
      <c r="AT7" s="87" t="str">
        <f t="shared" ref="AT7:AT13" si="15">COMPLEX(0,2*PI()*O7*wp0_ea)</f>
        <v>0.000835663645854885i</v>
      </c>
      <c r="AU7" s="87">
        <f t="shared" ref="AU7:AU13" si="16">IMABS(AT7)</f>
        <v>8.3566364585488503E-4</v>
      </c>
      <c r="AV7" s="87">
        <f t="shared" ref="AV7:AV13" si="17">IMARGUMENT(AT7)</f>
        <v>1.5707963267948966</v>
      </c>
      <c r="AW7" s="87" t="str">
        <f t="shared" ref="AW7:AW13" si="18">IMSUM(COMPLEX(1,0),IMDIV(COMPLEX(0,2*PI()*O7),COMPLEX(wp1_ea,0)))</f>
        <v>1+0.177919966261514i</v>
      </c>
      <c r="AX7" s="87">
        <f t="shared" ref="AX7:AX13" si="19">IMABS(AW7)</f>
        <v>1.0157044424410568</v>
      </c>
      <c r="AY7" s="87">
        <f t="shared" ref="AY7:AY13" si="20">IMARGUMENT(AW7)</f>
        <v>0.17607745437669045</v>
      </c>
      <c r="AZ7" s="87" t="str">
        <f t="shared" ref="AZ7:AZ13" si="21">IMSUM(COMPLEX(1,0),IMDIV(COMPLEX(0,2*PI()*O7),COMPLEX(wz_ea,0)))</f>
        <v>1+3.38047935896877i</v>
      </c>
      <c r="BA7" s="87">
        <f t="shared" ref="BA7:BA13" si="22">IMABS(AZ7)</f>
        <v>3.5252859027905679</v>
      </c>
      <c r="BB7" s="87">
        <f t="shared" ref="BB7:BB13" si="23">IMARGUMENT(AZ7)</f>
        <v>1.2831824388208179</v>
      </c>
      <c r="BC7" s="86" t="str">
        <f t="shared" ref="BC7:BC13" si="24">IMPRODUCT(AS7,IMDIV(AZ7,IMPRODUCT(AT7,AW7)))</f>
        <v>-0.634227636803058+0.317148490283706i</v>
      </c>
      <c r="BD7" s="87">
        <f t="shared" ref="BD7:BD13" si="25">20*LOG(IMABS(BC7))</f>
        <v>-2.9858066737303481</v>
      </c>
      <c r="BE7" s="92">
        <f t="shared" ref="BE7:BE13" si="26">(180/PI())*IMARGUMENT(BC7)</f>
        <v>153.43244308654513</v>
      </c>
      <c r="BF7" s="86" t="str">
        <f t="shared" ref="BF7:BF13" si="27">IMPRODUCT(AC7,BC7)</f>
        <v>0.640250045787569+1.16598486953707i</v>
      </c>
      <c r="BG7" s="91">
        <f t="shared" ref="BG7:BG13" si="28">20*LOG(IMABS(BF7))</f>
        <v>2.4783604618138435</v>
      </c>
      <c r="BH7" s="92">
        <f t="shared" ref="BH7:BH13" si="29">(180/PI())*IMARGUMENT(BF7)</f>
        <v>61.228518722529685</v>
      </c>
      <c r="BI7" s="86" t="e">
        <f>IMPRODUCT(AP7,BC7)</f>
        <v>#NUM!</v>
      </c>
      <c r="BJ7" s="91" t="e">
        <f t="shared" ref="BJ7:BJ13" si="30">20*LOG(IMABS(BI7))</f>
        <v>#NUM!</v>
      </c>
      <c r="BK7" s="92" t="e">
        <f t="shared" ref="BK7:BK13" si="31">(180/PI())*IMARGUMENT(BI7)</f>
        <v>#NUM!</v>
      </c>
      <c r="BL7" s="32">
        <f>IF($B$31=0,BJ7,BG7)</f>
        <v>2.4783604618138435</v>
      </c>
      <c r="BM7" s="32">
        <f>IF($B$31=0,BK7,BH7)</f>
        <v>61.228518722529685</v>
      </c>
    </row>
    <row r="8" spans="1:65" s="32" customFormat="1" ht="15" thickBot="1" x14ac:dyDescent="0.35">
      <c r="A8" s="11"/>
      <c r="B8" s="11"/>
      <c r="C8" s="11"/>
      <c r="D8" s="18"/>
      <c r="E8" s="104"/>
      <c r="F8" s="104"/>
      <c r="G8" s="104"/>
      <c r="H8" s="104"/>
      <c r="I8" s="104"/>
      <c r="J8" s="104"/>
      <c r="K8" s="104"/>
      <c r="L8" s="104"/>
      <c r="M8" s="26"/>
      <c r="N8" s="86" t="s">
        <v>257</v>
      </c>
      <c r="O8" s="92">
        <f>fcross</f>
        <v>3500</v>
      </c>
      <c r="P8" s="88" t="str">
        <f t="shared" ref="P8:P13" si="32">COMPLEX(Adc,0)</f>
        <v>23.3035714285714</v>
      </c>
      <c r="Q8" s="89" t="str">
        <f t="shared" ref="Q8:Q13" si="33">IMSUM(COMPLEX(1,0),IMDIV(COMPLEX(0,2*PI()*O8),COMPLEX(wp_lf,0)))</f>
        <v>1+8.34092849528092i</v>
      </c>
      <c r="R8" s="89">
        <f t="shared" si="0"/>
        <v>8.400659983798251</v>
      </c>
      <c r="S8" s="89">
        <f t="shared" si="1"/>
        <v>1.4514751217472168</v>
      </c>
      <c r="T8" s="89" t="str">
        <f t="shared" ref="T8:T13" si="34">IMSUM(COMPLEX(1,0),IMDIV(COMPLEX(0,2*PI()*O8),COMPLEX(wz_esr,0)))</f>
        <v>1+0.0389243329779776i</v>
      </c>
      <c r="U8" s="89">
        <f t="shared" si="2"/>
        <v>1.0007572651236565</v>
      </c>
      <c r="V8" s="89">
        <f t="shared" si="3"/>
        <v>3.8904692695517669E-2</v>
      </c>
      <c r="W8" s="87" t="str">
        <f t="shared" ref="W8:W13" si="35">IMSUB(COMPLEX(1,0),IMDIV(COMPLEX(0,2*PI()*O8),COMPLEX(wz_rhp,0)))</f>
        <v>1-0.0537561409614255i</v>
      </c>
      <c r="X8" s="89">
        <f t="shared" si="4"/>
        <v>1.001443819038824</v>
      </c>
      <c r="Y8" s="89">
        <f t="shared" si="5"/>
        <v>-5.3704450441192299E-2</v>
      </c>
      <c r="Z8" s="87" t="str">
        <f t="shared" ref="Z8:Z13" si="36">IMSUM(COMPLEX(1,0),IMDIV(COMPLEX(0,2*PI()*O8),COMPLEX(Q*(wsl/2),0)),IMDIV(IMPOWER(COMPLEX(0,2*PI()*O8),2),IMPOWER(COMPLEX(wsl/2,0),2)))</f>
        <v>0.999951+0.0263833307242962i</v>
      </c>
      <c r="AA8" s="89">
        <f t="shared" si="6"/>
        <v>1.0002989965710791</v>
      </c>
      <c r="AB8" s="89">
        <f t="shared" si="7"/>
        <v>2.6378503589412298E-2</v>
      </c>
      <c r="AC8" s="90" t="str">
        <f t="shared" si="8"/>
        <v>0.216961299688923-2.77081330495021i</v>
      </c>
      <c r="AD8" s="91">
        <f t="shared" si="9"/>
        <v>8.8786917301433679</v>
      </c>
      <c r="AE8" s="92">
        <f t="shared" si="10"/>
        <v>-85.522739126540088</v>
      </c>
      <c r="AF8" s="51" t="e">
        <f t="shared" ref="AF8:AF13" si="37">COMPLEX($B$68,0)</f>
        <v>#NUM!</v>
      </c>
      <c r="AG8" s="51" t="str">
        <f t="shared" si="11"/>
        <v>1-11.6772998933933i</v>
      </c>
      <c r="AH8" s="51">
        <f t="shared" ref="AH8:AH13" si="38">IMABS(AG8)</f>
        <v>11.720039795164658</v>
      </c>
      <c r="AI8" s="51">
        <f t="shared" ref="AI8:AI13" si="39">IMARGUMENT(AG8)</f>
        <v>-1.4853685149098794</v>
      </c>
      <c r="AJ8" s="51" t="str">
        <f t="shared" si="12"/>
        <v>1+0.0389243329779776i</v>
      </c>
      <c r="AK8" s="51">
        <f t="shared" ref="AK8:AK13" si="40">IMABS(AJ8)</f>
        <v>1.0007572651236565</v>
      </c>
      <c r="AL8" s="51">
        <f t="shared" ref="AL8:AL13" si="41">IMARGUMENT(AJ8)</f>
        <v>3.8904692695517669E-2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-0.000170731707317073</v>
      </c>
      <c r="AT8" s="87" t="str">
        <f t="shared" si="15"/>
        <v>0.000835663645854885i</v>
      </c>
      <c r="AU8" s="87">
        <f t="shared" si="16"/>
        <v>8.3566364585488503E-4</v>
      </c>
      <c r="AV8" s="87">
        <f t="shared" si="17"/>
        <v>1.5707963267948966</v>
      </c>
      <c r="AW8" s="87" t="str">
        <f t="shared" si="18"/>
        <v>1+0.177919966261514i</v>
      </c>
      <c r="AX8" s="87">
        <f t="shared" si="19"/>
        <v>1.0157044424410568</v>
      </c>
      <c r="AY8" s="87">
        <f t="shared" si="20"/>
        <v>0.17607745437669045</v>
      </c>
      <c r="AZ8" s="87" t="str">
        <f t="shared" si="21"/>
        <v>1+3.38047935896877i</v>
      </c>
      <c r="BA8" s="87">
        <f t="shared" si="22"/>
        <v>3.5252859027905679</v>
      </c>
      <c r="BB8" s="87">
        <f t="shared" si="23"/>
        <v>1.2831824388208179</v>
      </c>
      <c r="BC8" s="86" t="str">
        <f t="shared" si="24"/>
        <v>-0.634227636803058+0.317148490283706i</v>
      </c>
      <c r="BD8" s="87">
        <f t="shared" si="25"/>
        <v>-2.9858066737303481</v>
      </c>
      <c r="BE8" s="92">
        <f t="shared" si="26"/>
        <v>153.43244308654513</v>
      </c>
      <c r="BF8" s="86" t="str">
        <f t="shared" si="27"/>
        <v>0.741156404143539+1.82613532306738i</v>
      </c>
      <c r="BG8" s="91">
        <f t="shared" si="28"/>
        <v>5.8928850564130411</v>
      </c>
      <c r="BH8" s="92">
        <f t="shared" si="29"/>
        <v>67.909703960005103</v>
      </c>
      <c r="BI8" s="86" t="e">
        <f t="shared" ref="BI8:BI13" si="47">IMPRODUCT(AP8,BC8)</f>
        <v>#NUM!</v>
      </c>
      <c r="BJ8" s="91" t="e">
        <f t="shared" si="30"/>
        <v>#NUM!</v>
      </c>
      <c r="BK8" s="92" t="e">
        <f t="shared" si="31"/>
        <v>#NUM!</v>
      </c>
      <c r="BL8" s="32">
        <f t="shared" ref="BL8:BL13" si="48">IF($B$31=0,BJ8,BG8)</f>
        <v>5.8928850564130411</v>
      </c>
      <c r="BM8" s="32">
        <f t="shared" ref="BM8:BM13" si="49">IF($B$31=0,BK8,BH8)</f>
        <v>67.909703960005103</v>
      </c>
    </row>
    <row r="9" spans="1:65" s="32" customFormat="1" ht="15" thickBot="1" x14ac:dyDescent="0.35">
      <c r="A9" s="71" t="s">
        <v>166</v>
      </c>
      <c r="B9" s="11"/>
      <c r="C9" s="11"/>
      <c r="D9" s="18"/>
      <c r="E9" s="36"/>
      <c r="F9" s="36"/>
      <c r="G9" s="36"/>
      <c r="H9" s="47"/>
      <c r="I9" s="47"/>
      <c r="J9" s="47"/>
      <c r="K9" s="36"/>
      <c r="L9" s="36"/>
      <c r="M9" s="26"/>
      <c r="N9" s="73" t="s">
        <v>258</v>
      </c>
      <c r="O9" s="93">
        <f>IF($B$31=0,B74,wz_rhp/(2*PI()))</f>
        <v>65108.84035577537</v>
      </c>
      <c r="P9" s="74" t="str">
        <f t="shared" si="32"/>
        <v>23.3035714285714</v>
      </c>
      <c r="Q9" s="75" t="str">
        <f t="shared" si="33"/>
        <v>1+155.162337662338i</v>
      </c>
      <c r="R9" s="75">
        <f t="shared" si="0"/>
        <v>155.16556006034779</v>
      </c>
      <c r="S9" s="75">
        <f t="shared" si="1"/>
        <v>1.5643515530824654</v>
      </c>
      <c r="T9" s="75" t="str">
        <f t="shared" si="34"/>
        <v>1+0.724090909090909i</v>
      </c>
      <c r="U9" s="75">
        <f t="shared" si="2"/>
        <v>1.2346285452021994</v>
      </c>
      <c r="V9" s="75">
        <f t="shared" si="3"/>
        <v>0.62671205383359785</v>
      </c>
      <c r="W9" s="76" t="str">
        <f t="shared" si="35"/>
        <v>1-i</v>
      </c>
      <c r="X9" s="75">
        <f t="shared" si="4"/>
        <v>1.4142135623730951</v>
      </c>
      <c r="Y9" s="75">
        <f t="shared" si="5"/>
        <v>-0.78539816339744828</v>
      </c>
      <c r="Z9" s="76" t="str">
        <f t="shared" si="36"/>
        <v>0.983043355630105+0.490796590909091i</v>
      </c>
      <c r="AA9" s="75">
        <f t="shared" si="6"/>
        <v>1.098751806686334</v>
      </c>
      <c r="AB9" s="75">
        <f t="shared" si="7"/>
        <v>0.46305735970315659</v>
      </c>
      <c r="AC9" s="77" t="str">
        <f t="shared" si="8"/>
        <v>-0.137754893883832-0.194889664696945i</v>
      </c>
      <c r="AD9" s="78">
        <f t="shared" si="9"/>
        <v>-12.444422783398398</v>
      </c>
      <c r="AE9" s="79">
        <f t="shared" si="10"/>
        <v>-125.25401839518214</v>
      </c>
      <c r="AF9" s="51" t="e">
        <f t="shared" si="37"/>
        <v>#NUM!</v>
      </c>
      <c r="AG9" s="51" t="str">
        <f t="shared" si="11"/>
        <v>1-217.227272727273i</v>
      </c>
      <c r="AH9" s="51">
        <f t="shared" si="38"/>
        <v>217.22957445184358</v>
      </c>
      <c r="AI9" s="51">
        <f t="shared" si="39"/>
        <v>-1.5661928857833447</v>
      </c>
      <c r="AJ9" s="51" t="str">
        <f t="shared" si="12"/>
        <v>1+0.724090909090909i</v>
      </c>
      <c r="AK9" s="51">
        <f t="shared" si="40"/>
        <v>1.2346285452021994</v>
      </c>
      <c r="AL9" s="51">
        <f t="shared" si="41"/>
        <v>0.62671205383359785</v>
      </c>
      <c r="AM9" s="51" t="e">
        <f t="shared" si="13"/>
        <v>#NUM!</v>
      </c>
      <c r="AN9" s="51" t="e">
        <f t="shared" si="42"/>
        <v>#NUM!</v>
      </c>
      <c r="AO9" s="51" t="e">
        <f t="shared" si="43"/>
        <v>#NUM!</v>
      </c>
      <c r="AP9" s="60" t="e">
        <f t="shared" si="44"/>
        <v>#NUM!</v>
      </c>
      <c r="AQ9" s="51" t="e">
        <f t="shared" si="45"/>
        <v>#NUM!</v>
      </c>
      <c r="AR9" s="63" t="e">
        <f t="shared" si="46"/>
        <v>#NUM!</v>
      </c>
      <c r="AS9" s="76" t="str">
        <f t="shared" si="14"/>
        <v>-0.000170731707317073</v>
      </c>
      <c r="AT9" s="76" t="str">
        <f t="shared" si="15"/>
        <v>0.0155454545454545i</v>
      </c>
      <c r="AU9" s="76">
        <f t="shared" si="16"/>
        <v>1.5545454545454499E-2</v>
      </c>
      <c r="AV9" s="76">
        <f t="shared" si="17"/>
        <v>1.5707963267948966</v>
      </c>
      <c r="AW9" s="76" t="str">
        <f t="shared" si="18"/>
        <v>1+3.30976076555023i</v>
      </c>
      <c r="AX9" s="76">
        <f t="shared" si="19"/>
        <v>3.4575303795014793</v>
      </c>
      <c r="AY9" s="76">
        <f t="shared" si="20"/>
        <v>1.2773804658449783</v>
      </c>
      <c r="AZ9" s="76" t="str">
        <f t="shared" si="21"/>
        <v>1+62.8854545454546i</v>
      </c>
      <c r="BA9" s="76">
        <f t="shared" si="22"/>
        <v>62.893405007110523</v>
      </c>
      <c r="BB9" s="76">
        <f t="shared" si="23"/>
        <v>1.5548957385019282</v>
      </c>
      <c r="BC9" s="73" t="str">
        <f t="shared" si="24"/>
        <v>-0.0547328240717972+0.192135295106959i</v>
      </c>
      <c r="BD9" s="76">
        <f t="shared" si="25"/>
        <v>-13.989002777507554</v>
      </c>
      <c r="BE9" s="79">
        <f t="shared" si="26"/>
        <v>105.90045387366553</v>
      </c>
      <c r="BF9" s="73" t="str">
        <f t="shared" si="27"/>
        <v>0.0449848976118167-0.0158007154575284i</v>
      </c>
      <c r="BG9" s="78">
        <f t="shared" si="28"/>
        <v>-26.433425560905953</v>
      </c>
      <c r="BH9" s="79">
        <f t="shared" si="29"/>
        <v>-19.353564521516564</v>
      </c>
      <c r="BI9" s="86" t="e">
        <f t="shared" si="47"/>
        <v>#NUM!</v>
      </c>
      <c r="BJ9" s="78" t="e">
        <f t="shared" si="30"/>
        <v>#NUM!</v>
      </c>
      <c r="BK9" s="79" t="e">
        <f t="shared" si="31"/>
        <v>#NUM!</v>
      </c>
      <c r="BL9" s="32">
        <f t="shared" si="48"/>
        <v>-26.433425560905953</v>
      </c>
      <c r="BM9" s="32">
        <f t="shared" si="49"/>
        <v>-19.353564521516564</v>
      </c>
    </row>
    <row r="10" spans="1:65" s="32" customFormat="1" ht="15" thickBot="1" x14ac:dyDescent="0.35">
      <c r="A10" s="32" t="s">
        <v>25</v>
      </c>
      <c r="B10" s="3">
        <f>VIN_min</f>
        <v>8</v>
      </c>
      <c r="C10" s="32" t="s">
        <v>10</v>
      </c>
      <c r="E10" s="32" t="s">
        <v>28</v>
      </c>
      <c r="N10" s="60" t="s">
        <v>216</v>
      </c>
      <c r="O10" s="94">
        <f>IF(B31=0,B72,wz_esr/(2*PI()))</f>
        <v>89918.046944573638</v>
      </c>
      <c r="P10" s="80" t="str">
        <f t="shared" si="32"/>
        <v>23.3035714285714</v>
      </c>
      <c r="Q10" s="81" t="str">
        <f t="shared" si="33"/>
        <v>1+214.285714285714i</v>
      </c>
      <c r="R10" s="81">
        <f t="shared" si="0"/>
        <v>214.28804760634375</v>
      </c>
      <c r="S10" s="81">
        <f t="shared" si="1"/>
        <v>1.5661296940043306</v>
      </c>
      <c r="T10" s="81" t="str">
        <f t="shared" si="34"/>
        <v>1+i</v>
      </c>
      <c r="U10" s="81">
        <f t="shared" si="2"/>
        <v>1.4142135623730951</v>
      </c>
      <c r="V10" s="81">
        <f t="shared" si="3"/>
        <v>0.78539816339744828</v>
      </c>
      <c r="W10" s="51" t="str">
        <f t="shared" si="35"/>
        <v>1-1.38104205900816i</v>
      </c>
      <c r="X10" s="81">
        <f t="shared" si="4"/>
        <v>1.7050739481762947</v>
      </c>
      <c r="Y10" s="81">
        <f t="shared" si="5"/>
        <v>-0.94408427296129849</v>
      </c>
      <c r="Z10" s="51" t="str">
        <f t="shared" si="36"/>
        <v>0.967658979334694+0.677810734463276i</v>
      </c>
      <c r="AA10" s="81">
        <f t="shared" si="6"/>
        <v>1.1814361142443155</v>
      </c>
      <c r="AB10" s="81">
        <f t="shared" si="7"/>
        <v>0.6110376214570713</v>
      </c>
      <c r="AC10" s="68" t="str">
        <f t="shared" si="8"/>
        <v>-0.153723873907453-0.160108437996527i</v>
      </c>
      <c r="AD10" s="66">
        <f t="shared" si="9"/>
        <v>-13.074549777739355</v>
      </c>
      <c r="AE10" s="63">
        <f t="shared" si="10"/>
        <v>-133.83454281512519</v>
      </c>
      <c r="AF10" s="51" t="e">
        <f t="shared" si="37"/>
        <v>#NUM!</v>
      </c>
      <c r="AG10" s="51" t="str">
        <f t="shared" si="11"/>
        <v>1-300.000000000001i</v>
      </c>
      <c r="AH10" s="51">
        <f t="shared" si="38"/>
        <v>300.00166666203808</v>
      </c>
      <c r="AI10" s="51">
        <f t="shared" si="39"/>
        <v>-1.5674630058071599</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-0.000170731707317073</v>
      </c>
      <c r="AT10" s="51" t="str">
        <f t="shared" si="15"/>
        <v>0.0214689265536723i</v>
      </c>
      <c r="AU10" s="51">
        <f t="shared" si="16"/>
        <v>2.1468926553672298E-2</v>
      </c>
      <c r="AV10" s="51">
        <f t="shared" si="17"/>
        <v>1.5707963267948966</v>
      </c>
      <c r="AW10" s="51" t="str">
        <f t="shared" si="18"/>
        <v>1+4.57091882247992i</v>
      </c>
      <c r="AX10" s="51">
        <f t="shared" si="19"/>
        <v>4.6790275572709783</v>
      </c>
      <c r="AY10" s="51">
        <f t="shared" si="20"/>
        <v>1.3554153462427549</v>
      </c>
      <c r="AZ10" s="51" t="str">
        <f t="shared" si="21"/>
        <v>1+86.8474576271186i</v>
      </c>
      <c r="BA10" s="51">
        <f t="shared" si="22"/>
        <v>86.853214657225905</v>
      </c>
      <c r="BB10" s="51">
        <f t="shared" si="23"/>
        <v>1.5592823937827758</v>
      </c>
      <c r="BC10" s="60" t="str">
        <f t="shared" si="24"/>
        <v>-0.029886059767637+0.144559256330895i</v>
      </c>
      <c r="BD10" s="51">
        <f t="shared" si="25"/>
        <v>-16.617317050643305</v>
      </c>
      <c r="BE10" s="63">
        <f t="shared" si="26"/>
        <v>101.68072140583605</v>
      </c>
      <c r="BF10" s="60" t="str">
        <f t="shared" si="27"/>
        <v>0.02773935761239-0.0174371985450985i</v>
      </c>
      <c r="BG10" s="66">
        <f t="shared" si="28"/>
        <v>-29.691866828382651</v>
      </c>
      <c r="BH10" s="63">
        <f t="shared" si="29"/>
        <v>-32.153821409289165</v>
      </c>
      <c r="BI10" s="86" t="e">
        <f t="shared" si="47"/>
        <v>#NUM!</v>
      </c>
      <c r="BJ10" s="66" t="e">
        <f t="shared" si="30"/>
        <v>#NUM!</v>
      </c>
      <c r="BK10" s="63" t="e">
        <f t="shared" si="31"/>
        <v>#NUM!</v>
      </c>
      <c r="BL10" s="32">
        <f t="shared" si="48"/>
        <v>-29.691866828382651</v>
      </c>
      <c r="BM10" s="32">
        <f t="shared" si="49"/>
        <v>-32.153821409289165</v>
      </c>
    </row>
    <row r="11" spans="1:65" s="32" customFormat="1" ht="15" thickBot="1" x14ac:dyDescent="0.35">
      <c r="A11" s="32" t="s">
        <v>26</v>
      </c>
      <c r="B11" s="3">
        <f>VIN_nom</f>
        <v>14.8</v>
      </c>
      <c r="C11" s="32" t="s">
        <v>10</v>
      </c>
      <c r="E11" s="32" t="s">
        <v>29</v>
      </c>
      <c r="N11" s="64" t="s">
        <v>214</v>
      </c>
      <c r="O11" s="95">
        <f>IF(B31=0,B70,wp_lf/(2*PI()))</f>
        <v>419.61755240801034</v>
      </c>
      <c r="P11" s="82" t="str">
        <f t="shared" si="32"/>
        <v>23.3035714285714</v>
      </c>
      <c r="Q11" s="56" t="str">
        <f t="shared" si="33"/>
        <v>1+i</v>
      </c>
      <c r="R11" s="56">
        <f t="shared" si="0"/>
        <v>1.4142135623730951</v>
      </c>
      <c r="S11" s="56">
        <f t="shared" si="1"/>
        <v>0.78539816339744828</v>
      </c>
      <c r="T11" s="56" t="str">
        <f t="shared" si="34"/>
        <v>1+0.00466666666666667i</v>
      </c>
      <c r="U11" s="56">
        <f t="shared" si="2"/>
        <v>1.0000108888296055</v>
      </c>
      <c r="V11" s="56">
        <f t="shared" si="3"/>
        <v>4.6666327905661061E-3</v>
      </c>
      <c r="W11" s="57" t="str">
        <f t="shared" si="35"/>
        <v>1-0.00644486294203808i</v>
      </c>
      <c r="X11" s="56">
        <f t="shared" si="4"/>
        <v>1.0000207679135178</v>
      </c>
      <c r="Y11" s="56">
        <f t="shared" si="5"/>
        <v>-6.4447737124311158E-3</v>
      </c>
      <c r="Z11" s="57" t="str">
        <f t="shared" si="36"/>
        <v>0.999999295684439+0.00316311676082862i</v>
      </c>
      <c r="AA11" s="56">
        <f t="shared" si="6"/>
        <v>1.0000042983292705</v>
      </c>
      <c r="AB11" s="56">
        <f t="shared" si="7"/>
        <v>3.1631084393848167E-3</v>
      </c>
      <c r="AC11" s="61" t="str">
        <f t="shared" si="8"/>
        <v>11.5943865220697-11.709537961216i</v>
      </c>
      <c r="AD11" s="67">
        <f t="shared" si="9"/>
        <v>24.338387366577727</v>
      </c>
      <c r="AE11" s="65">
        <f t="shared" si="10"/>
        <v>-45.283112733921442</v>
      </c>
      <c r="AF11" s="51" t="e">
        <f t="shared" si="37"/>
        <v>#NUM!</v>
      </c>
      <c r="AG11" s="51" t="str">
        <f t="shared" si="11"/>
        <v>1-1.4i</v>
      </c>
      <c r="AH11" s="51">
        <f t="shared" si="38"/>
        <v>1.7204650534085253</v>
      </c>
      <c r="AI11" s="51">
        <f t="shared" si="39"/>
        <v>-0.95054684081207508</v>
      </c>
      <c r="AJ11" s="51" t="str">
        <f t="shared" si="12"/>
        <v>1+0.00466666666666667i</v>
      </c>
      <c r="AK11" s="51">
        <f t="shared" si="40"/>
        <v>1.0000108888296055</v>
      </c>
      <c r="AL11" s="51">
        <f t="shared" si="41"/>
        <v>4.6666327905661061E-3</v>
      </c>
      <c r="AM11" s="51" t="e">
        <f t="shared" si="13"/>
        <v>#NUM!</v>
      </c>
      <c r="AN11" s="51" t="e">
        <f t="shared" si="42"/>
        <v>#NUM!</v>
      </c>
      <c r="AO11" s="51" t="e">
        <f t="shared" si="43"/>
        <v>#NUM!</v>
      </c>
      <c r="AP11" s="60" t="e">
        <f t="shared" si="44"/>
        <v>#NUM!</v>
      </c>
      <c r="AQ11" s="51" t="e">
        <f t="shared" si="45"/>
        <v>#NUM!</v>
      </c>
      <c r="AR11" s="63" t="e">
        <f t="shared" si="46"/>
        <v>#NUM!</v>
      </c>
      <c r="AS11" s="57" t="str">
        <f t="shared" si="14"/>
        <v>-0.000170731707317073</v>
      </c>
      <c r="AT11" s="57" t="str">
        <f t="shared" si="15"/>
        <v>0.000100188323917137i</v>
      </c>
      <c r="AU11" s="57">
        <f t="shared" si="16"/>
        <v>1.0018832391713701E-4</v>
      </c>
      <c r="AV11" s="57">
        <f t="shared" si="17"/>
        <v>1.5707963267948966</v>
      </c>
      <c r="AW11" s="57" t="str">
        <f t="shared" si="18"/>
        <v>1+0.0213309545049063i</v>
      </c>
      <c r="AX11" s="57">
        <f t="shared" si="19"/>
        <v>1.0002274789367118</v>
      </c>
      <c r="AY11" s="57">
        <f t="shared" si="20"/>
        <v>2.132772012469638E-2</v>
      </c>
      <c r="AZ11" s="57" t="str">
        <f t="shared" si="21"/>
        <v>1+0.40528813559322i</v>
      </c>
      <c r="BA11" s="57">
        <f t="shared" si="22"/>
        <v>1.0790080967502647</v>
      </c>
      <c r="BB11" s="57">
        <f t="shared" si="23"/>
        <v>0.38505678558071038</v>
      </c>
      <c r="BC11" s="64" t="str">
        <f t="shared" si="24"/>
        <v>-0.654006859476599+1.7180584211174i</v>
      </c>
      <c r="BD11" s="57">
        <f t="shared" si="25"/>
        <v>5.2884598811788521</v>
      </c>
      <c r="BE11" s="65">
        <f t="shared" si="26"/>
        <v>110.84014033686712</v>
      </c>
      <c r="BF11" s="64" t="str">
        <f t="shared" si="27"/>
        <v>12.5348619848044+27.5779515498688i</v>
      </c>
      <c r="BG11" s="67">
        <f t="shared" si="28"/>
        <v>29.626847247756572</v>
      </c>
      <c r="BH11" s="65">
        <f t="shared" si="29"/>
        <v>65.557027602945681</v>
      </c>
      <c r="BI11" s="86" t="e">
        <f t="shared" si="47"/>
        <v>#NUM!</v>
      </c>
      <c r="BJ11" s="67" t="e">
        <f t="shared" si="30"/>
        <v>#NUM!</v>
      </c>
      <c r="BK11" s="65" t="e">
        <f t="shared" si="31"/>
        <v>#NUM!</v>
      </c>
      <c r="BL11" s="32">
        <f t="shared" si="48"/>
        <v>29.626847247756572</v>
      </c>
      <c r="BM11" s="32">
        <f t="shared" si="49"/>
        <v>65.557027602945681</v>
      </c>
    </row>
    <row r="12" spans="1:65" s="32" customFormat="1" ht="15" thickBot="1" x14ac:dyDescent="0.35">
      <c r="A12" s="32" t="s">
        <v>27</v>
      </c>
      <c r="B12" s="3">
        <f>VIN_max</f>
        <v>18</v>
      </c>
      <c r="C12" s="32" t="s">
        <v>10</v>
      </c>
      <c r="E12" s="32" t="s">
        <v>30</v>
      </c>
      <c r="N12" s="73" t="s">
        <v>224</v>
      </c>
      <c r="O12" s="79">
        <f>wz_ea/(2*PI())</f>
        <v>1035.3561221174559</v>
      </c>
      <c r="P12" s="74" t="str">
        <f t="shared" si="32"/>
        <v>23.3035714285714</v>
      </c>
      <c r="Q12" s="75" t="str">
        <f t="shared" si="33"/>
        <v>1+2.46738039478086i</v>
      </c>
      <c r="R12" s="75">
        <f t="shared" si="0"/>
        <v>2.6623234237314128</v>
      </c>
      <c r="S12" s="75">
        <f t="shared" si="1"/>
        <v>1.1857395412141856</v>
      </c>
      <c r="T12" s="75" t="str">
        <f t="shared" si="34"/>
        <v>1+0.0115144418423107i</v>
      </c>
      <c r="U12" s="75">
        <f t="shared" si="2"/>
        <v>1.0000662889883549</v>
      </c>
      <c r="V12" s="75">
        <f t="shared" si="3"/>
        <v>1.1513933012120734E-2</v>
      </c>
      <c r="W12" s="76" t="str">
        <f t="shared" si="35"/>
        <v>1-0.0159019284702345i</v>
      </c>
      <c r="X12" s="75">
        <f t="shared" si="4"/>
        <v>1.0001264276725579</v>
      </c>
      <c r="Y12" s="75">
        <f t="shared" si="5"/>
        <v>-1.5900588292968375E-2</v>
      </c>
      <c r="Z12" s="76" t="str">
        <f t="shared" si="36"/>
        <v>0.999995712150802+0.00780461228207129i</v>
      </c>
      <c r="AA12" s="75">
        <f t="shared" si="6"/>
        <v>1.0000261678040545</v>
      </c>
      <c r="AB12" s="75">
        <f t="shared" si="7"/>
        <v>7.8044872861909708E-3</v>
      </c>
      <c r="AC12" s="77" t="str">
        <f t="shared" si="8"/>
        <v>3.18915828801906-8.15300407612443i</v>
      </c>
      <c r="AD12" s="78">
        <f t="shared" si="9"/>
        <v>18.844679968812407</v>
      </c>
      <c r="AE12" s="79">
        <f t="shared" si="10"/>
        <v>-68.636372329884949</v>
      </c>
      <c r="AF12" s="51" t="e">
        <f t="shared" si="37"/>
        <v>#NUM!</v>
      </c>
      <c r="AG12" s="51" t="str">
        <f t="shared" si="11"/>
        <v>1-3.45433255269322i</v>
      </c>
      <c r="AH12" s="51">
        <f t="shared" si="38"/>
        <v>3.5961664845493533</v>
      </c>
      <c r="AI12" s="51">
        <f t="shared" si="39"/>
        <v>-1.2890079978032727</v>
      </c>
      <c r="AJ12" s="51" t="str">
        <f t="shared" si="12"/>
        <v>1+0.0115144418423107i</v>
      </c>
      <c r="AK12" s="51">
        <f t="shared" si="40"/>
        <v>1.0000662889883549</v>
      </c>
      <c r="AL12" s="51">
        <f t="shared" si="41"/>
        <v>1.1513933012120734E-2</v>
      </c>
      <c r="AM12" s="51" t="e">
        <f t="shared" si="13"/>
        <v>#NUM!</v>
      </c>
      <c r="AN12" s="51" t="e">
        <f t="shared" si="42"/>
        <v>#NUM!</v>
      </c>
      <c r="AO12" s="51" t="e">
        <f t="shared" si="43"/>
        <v>#NUM!</v>
      </c>
      <c r="AP12" s="60" t="e">
        <f t="shared" si="44"/>
        <v>#NUM!</v>
      </c>
      <c r="AQ12" s="51" t="e">
        <f t="shared" si="45"/>
        <v>#NUM!</v>
      </c>
      <c r="AR12" s="63" t="e">
        <f t="shared" si="46"/>
        <v>#NUM!</v>
      </c>
      <c r="AS12" s="76" t="str">
        <f t="shared" si="14"/>
        <v>-0.000170731707317073</v>
      </c>
      <c r="AT12" s="76" t="str">
        <f t="shared" si="15"/>
        <v>0.0002472027062191i</v>
      </c>
      <c r="AU12" s="76">
        <f t="shared" si="16"/>
        <v>2.4720270621909999E-4</v>
      </c>
      <c r="AV12" s="76">
        <f t="shared" si="17"/>
        <v>1.5707963267948966</v>
      </c>
      <c r="AW12" s="76" t="str">
        <f t="shared" si="18"/>
        <v>1+0.0526315789473683i</v>
      </c>
      <c r="AX12" s="76">
        <f t="shared" si="19"/>
        <v>1.001384083707392</v>
      </c>
      <c r="AY12" s="76">
        <f t="shared" si="20"/>
        <v>5.2583061610941596E-2</v>
      </c>
      <c r="AZ12" s="76" t="str">
        <f t="shared" si="21"/>
        <v>1+i</v>
      </c>
      <c r="BA12" s="76">
        <f t="shared" si="22"/>
        <v>1.4142135623730951</v>
      </c>
      <c r="BB12" s="76">
        <f t="shared" si="23"/>
        <v>0.78539816339744828</v>
      </c>
      <c r="BC12" s="73" t="str">
        <f t="shared" si="24"/>
        <v>-0.652496968063602+0.72499663118178i</v>
      </c>
      <c r="BD12" s="76">
        <f t="shared" si="25"/>
        <v>-0.21649448023483567</v>
      </c>
      <c r="BE12" s="79">
        <f t="shared" si="26"/>
        <v>131.98721249581666</v>
      </c>
      <c r="BF12" s="73" t="str">
        <f t="shared" si="27"/>
        <v>3.82998437559419+7.63193945540065i</v>
      </c>
      <c r="BG12" s="78">
        <f t="shared" si="28"/>
        <v>18.628185488577568</v>
      </c>
      <c r="BH12" s="79">
        <f t="shared" si="29"/>
        <v>63.350840165931707</v>
      </c>
      <c r="BI12" s="86" t="e">
        <f t="shared" si="47"/>
        <v>#NUM!</v>
      </c>
      <c r="BJ12" s="78" t="e">
        <f t="shared" si="30"/>
        <v>#NUM!</v>
      </c>
      <c r="BK12" s="79" t="e">
        <f t="shared" si="31"/>
        <v>#NUM!</v>
      </c>
      <c r="BL12" s="32">
        <f t="shared" si="48"/>
        <v>18.628185488577568</v>
      </c>
      <c r="BM12" s="32">
        <f t="shared" si="49"/>
        <v>63.350840165931707</v>
      </c>
    </row>
    <row r="13" spans="1:65" s="32" customFormat="1" ht="15" thickBot="1" x14ac:dyDescent="0.35">
      <c r="A13" s="32" t="s">
        <v>66</v>
      </c>
      <c r="B13" s="3">
        <f>Fsw</f>
        <v>1000000</v>
      </c>
      <c r="C13" s="32" t="s">
        <v>67</v>
      </c>
      <c r="E13" s="32" t="s">
        <v>68</v>
      </c>
      <c r="N13" s="64" t="s">
        <v>230</v>
      </c>
      <c r="O13" s="65">
        <f>wp1_ea/(2*PI())</f>
        <v>19671.766320231662</v>
      </c>
      <c r="P13" s="82" t="str">
        <f t="shared" si="32"/>
        <v>23.3035714285714</v>
      </c>
      <c r="Q13" s="56" t="str">
        <f t="shared" si="33"/>
        <v>1+46.8802275008365i</v>
      </c>
      <c r="R13" s="56">
        <f t="shared" si="0"/>
        <v>46.890891765141198</v>
      </c>
      <c r="S13" s="56">
        <f t="shared" si="1"/>
        <v>1.5494686066702001</v>
      </c>
      <c r="T13" s="56" t="str">
        <f t="shared" si="34"/>
        <v>1+0.218774395003904i</v>
      </c>
      <c r="U13" s="56">
        <f t="shared" si="2"/>
        <v>1.0236514230485514</v>
      </c>
      <c r="V13" s="56">
        <f t="shared" si="3"/>
        <v>0.21538098055214197</v>
      </c>
      <c r="W13" s="57" t="str">
        <f t="shared" si="35"/>
        <v>1-0.302136640934456i</v>
      </c>
      <c r="X13" s="56">
        <f t="shared" si="4"/>
        <v>1.044646614791412</v>
      </c>
      <c r="Y13" s="56">
        <f t="shared" si="5"/>
        <v>-0.29341586094991828</v>
      </c>
      <c r="Z13" s="57" t="str">
        <f t="shared" si="36"/>
        <v>0.998452086439369+0.148287633359355i</v>
      </c>
      <c r="AA13" s="56">
        <f t="shared" si="6"/>
        <v>1.0094036809534865</v>
      </c>
      <c r="AB13" s="56">
        <f t="shared" si="7"/>
        <v>0.14743978058279425</v>
      </c>
      <c r="AC13" s="61" t="str">
        <f t="shared" si="8"/>
        <v>-0.106736429576822-0.515557624435587i</v>
      </c>
      <c r="AD13" s="67">
        <f t="shared" si="9"/>
        <v>-5.5721879172436175</v>
      </c>
      <c r="AE13" s="65">
        <f t="shared" si="10"/>
        <v>-101.69675811154841</v>
      </c>
      <c r="AF13" s="51" t="e">
        <f t="shared" si="37"/>
        <v>#NUM!</v>
      </c>
      <c r="AG13" s="51" t="str">
        <f t="shared" si="11"/>
        <v>1-65.6323185011712i</v>
      </c>
      <c r="AH13" s="51">
        <f t="shared" si="38"/>
        <v>65.639936257123054</v>
      </c>
      <c r="AI13" s="51">
        <f t="shared" si="39"/>
        <v>-1.5555611095875319</v>
      </c>
      <c r="AJ13" s="51" t="str">
        <f t="shared" si="12"/>
        <v>1+0.218774395003904i</v>
      </c>
      <c r="AK13" s="51">
        <f t="shared" si="40"/>
        <v>1.0236514230485514</v>
      </c>
      <c r="AL13" s="51">
        <f t="shared" si="41"/>
        <v>0.21538098055214197</v>
      </c>
      <c r="AM13" s="51" t="e">
        <f t="shared" si="13"/>
        <v>#NUM!</v>
      </c>
      <c r="AN13" s="51" t="e">
        <f t="shared" si="42"/>
        <v>#NUM!</v>
      </c>
      <c r="AO13" s="51" t="e">
        <f t="shared" si="43"/>
        <v>#NUM!</v>
      </c>
      <c r="AP13" s="60" t="e">
        <f t="shared" si="44"/>
        <v>#NUM!</v>
      </c>
      <c r="AQ13" s="51" t="e">
        <f t="shared" si="45"/>
        <v>#NUM!</v>
      </c>
      <c r="AR13" s="63" t="e">
        <f t="shared" si="46"/>
        <v>#NUM!</v>
      </c>
      <c r="AS13" s="57" t="str">
        <f t="shared" si="14"/>
        <v>-0.000170731707317073</v>
      </c>
      <c r="AT13" s="57" t="str">
        <f t="shared" si="15"/>
        <v>0.00469685141816289i</v>
      </c>
      <c r="AU13" s="57">
        <f t="shared" si="16"/>
        <v>4.6968514181628899E-3</v>
      </c>
      <c r="AV13" s="57">
        <f t="shared" si="17"/>
        <v>1.5707963267948966</v>
      </c>
      <c r="AW13" s="57" t="str">
        <f t="shared" si="18"/>
        <v>1+i</v>
      </c>
      <c r="AX13" s="57">
        <f t="shared" si="19"/>
        <v>1.4142135623730951</v>
      </c>
      <c r="AY13" s="57">
        <f t="shared" si="20"/>
        <v>0.78539816339744828</v>
      </c>
      <c r="AZ13" s="57" t="str">
        <f t="shared" si="21"/>
        <v>1+19i</v>
      </c>
      <c r="BA13" s="57">
        <f t="shared" si="22"/>
        <v>19.026297590440446</v>
      </c>
      <c r="BB13" s="57">
        <f t="shared" si="23"/>
        <v>1.5182132651839548</v>
      </c>
      <c r="BC13" s="64" t="str">
        <f t="shared" si="24"/>
        <v>-0.327152219444632+0.363502466049591i</v>
      </c>
      <c r="BD13" s="57">
        <f t="shared" si="25"/>
        <v>-6.2130670209642922</v>
      </c>
      <c r="BE13" s="65">
        <f t="shared" si="26"/>
        <v>131.98721249581666</v>
      </c>
      <c r="BF13" s="64" t="str">
        <f t="shared" si="27"/>
        <v>0.222325527704658+0.129866865717201i</v>
      </c>
      <c r="BG13" s="67">
        <f t="shared" si="28"/>
        <v>-11.785254938207903</v>
      </c>
      <c r="BH13" s="65">
        <f t="shared" si="29"/>
        <v>30.290454384268223</v>
      </c>
      <c r="BI13" s="86" t="e">
        <f t="shared" si="47"/>
        <v>#NUM!</v>
      </c>
      <c r="BJ13" s="67" t="e">
        <f t="shared" si="30"/>
        <v>#NUM!</v>
      </c>
      <c r="BK13" s="65" t="e">
        <f t="shared" si="31"/>
        <v>#NUM!</v>
      </c>
      <c r="BL13" s="32">
        <f t="shared" si="48"/>
        <v>-11.785254938207903</v>
      </c>
      <c r="BM13" s="32">
        <f t="shared" si="49"/>
        <v>30.290454384268223</v>
      </c>
    </row>
    <row r="14" spans="1:65" s="32" customFormat="1" x14ac:dyDescent="0.3">
      <c r="B14" s="27"/>
      <c r="O14" s="52"/>
    </row>
    <row r="15" spans="1:65" ht="15" thickBot="1" x14ac:dyDescent="0.35">
      <c r="A15" s="70" t="s">
        <v>473</v>
      </c>
      <c r="N15" s="32"/>
      <c r="O15" s="52" t="s">
        <v>193</v>
      </c>
      <c r="P15" s="32">
        <f>B16</f>
        <v>18</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18</v>
      </c>
      <c r="C16" t="s">
        <v>10</v>
      </c>
      <c r="E16" t="s">
        <v>196</v>
      </c>
      <c r="F16" s="32"/>
      <c r="G16" s="32"/>
      <c r="N16" s="32"/>
      <c r="O16" s="69"/>
      <c r="P16" s="246" t="s">
        <v>471</v>
      </c>
      <c r="Q16" s="246"/>
      <c r="R16" s="246"/>
      <c r="S16" s="246"/>
      <c r="T16" s="246"/>
      <c r="U16" s="246"/>
      <c r="V16" s="246"/>
      <c r="W16" s="246"/>
      <c r="X16" s="246"/>
      <c r="Y16" s="246"/>
      <c r="Z16" s="246"/>
      <c r="AA16" s="246"/>
      <c r="AB16" s="246"/>
      <c r="AC16" s="246"/>
      <c r="AD16" s="246"/>
      <c r="AE16" s="247"/>
      <c r="AF16" s="245" t="s">
        <v>472</v>
      </c>
      <c r="AG16" s="246"/>
      <c r="AH16" s="246"/>
      <c r="AI16" s="246"/>
      <c r="AJ16" s="246"/>
      <c r="AK16" s="246"/>
      <c r="AL16" s="246"/>
      <c r="AM16" s="246"/>
      <c r="AN16" s="246"/>
      <c r="AO16" s="246"/>
      <c r="AP16" s="246"/>
      <c r="AQ16" s="246"/>
      <c r="AR16" s="247"/>
      <c r="AS16" s="245" t="s">
        <v>223</v>
      </c>
      <c r="AT16" s="246"/>
      <c r="AU16" s="246"/>
      <c r="AV16" s="246"/>
      <c r="AW16" s="246"/>
      <c r="AX16" s="246"/>
      <c r="AY16" s="246"/>
      <c r="AZ16" s="246"/>
      <c r="BA16" s="246"/>
      <c r="BB16" s="246"/>
      <c r="BC16" s="246"/>
      <c r="BD16" s="246"/>
      <c r="BE16" s="247"/>
      <c r="BF16" s="245" t="s">
        <v>506</v>
      </c>
      <c r="BG16" s="246"/>
      <c r="BH16" s="247"/>
      <c r="BI16" s="245" t="s">
        <v>507</v>
      </c>
      <c r="BJ16" s="246"/>
      <c r="BK16" s="247"/>
      <c r="BL16" s="245" t="s">
        <v>508</v>
      </c>
      <c r="BM16" s="247"/>
    </row>
    <row r="17" spans="1:65" x14ac:dyDescent="0.3">
      <c r="A17" t="s">
        <v>389</v>
      </c>
      <c r="B17">
        <f>IOUT</f>
        <v>8</v>
      </c>
      <c r="C17" t="s">
        <v>11</v>
      </c>
      <c r="E17" t="s">
        <v>498</v>
      </c>
      <c r="N17" s="32"/>
      <c r="O17" s="54"/>
      <c r="P17" s="51"/>
      <c r="Q17" s="248" t="s">
        <v>214</v>
      </c>
      <c r="R17" s="248"/>
      <c r="S17" s="248"/>
      <c r="T17" s="244" t="s">
        <v>216</v>
      </c>
      <c r="U17" s="244"/>
      <c r="V17" s="244"/>
      <c r="W17" s="244" t="s">
        <v>258</v>
      </c>
      <c r="X17" s="244"/>
      <c r="Y17" s="244"/>
      <c r="Z17" s="244" t="s">
        <v>219</v>
      </c>
      <c r="AA17" s="244"/>
      <c r="AB17" s="244"/>
      <c r="AC17" s="252" t="s">
        <v>221</v>
      </c>
      <c r="AD17" s="244"/>
      <c r="AE17" s="253"/>
      <c r="AF17" s="217"/>
      <c r="AG17" s="248" t="s">
        <v>214</v>
      </c>
      <c r="AH17" s="248"/>
      <c r="AI17" s="248"/>
      <c r="AJ17" s="249" t="s">
        <v>216</v>
      </c>
      <c r="AK17" s="249"/>
      <c r="AL17" s="249"/>
      <c r="AM17" s="244" t="s">
        <v>258</v>
      </c>
      <c r="AN17" s="244"/>
      <c r="AO17" s="244"/>
      <c r="AP17" s="250" t="s">
        <v>221</v>
      </c>
      <c r="AQ17" s="249"/>
      <c r="AR17" s="251"/>
      <c r="AS17" s="51"/>
      <c r="AT17" s="244" t="s">
        <v>229</v>
      </c>
      <c r="AU17" s="244"/>
      <c r="AV17" s="244"/>
      <c r="AW17" s="244" t="s">
        <v>230</v>
      </c>
      <c r="AX17" s="244"/>
      <c r="AY17" s="244"/>
      <c r="AZ17" s="244" t="s">
        <v>224</v>
      </c>
      <c r="BA17" s="244"/>
      <c r="BB17" s="244"/>
      <c r="BC17" s="252" t="s">
        <v>221</v>
      </c>
      <c r="BD17" s="244"/>
      <c r="BE17" s="253"/>
      <c r="BF17" s="252" t="s">
        <v>221</v>
      </c>
      <c r="BG17" s="244"/>
      <c r="BH17" s="253"/>
      <c r="BI17" s="252" t="s">
        <v>221</v>
      </c>
      <c r="BJ17" s="244"/>
      <c r="BK17" s="253"/>
      <c r="BL17" s="51"/>
      <c r="BM17" s="63"/>
    </row>
    <row r="18" spans="1:65" ht="15" thickBot="1" x14ac:dyDescent="0.35">
      <c r="A18" t="s">
        <v>582</v>
      </c>
      <c r="B18">
        <f>VOUT/(VOUT+VIN_var)</f>
        <v>0.4</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12</v>
      </c>
      <c r="C19" t="s">
        <v>10</v>
      </c>
      <c r="E19" t="s">
        <v>167</v>
      </c>
      <c r="N19" s="11">
        <v>1</v>
      </c>
      <c r="O19" s="52">
        <f>10^(1+(N19/100))</f>
        <v>10.232929922807543</v>
      </c>
      <c r="P19" s="50" t="str">
        <f t="shared" ref="P19:P82" si="50">COMPLEX(Adc,0)</f>
        <v>23.3035714285714</v>
      </c>
      <c r="Q19" s="18" t="str">
        <f t="shared" ref="Q19:Q82" si="51">IMSUM(COMPLEX(1,0),IMDIV(COMPLEX(0,2*PI()*O19),COMPLEX(wp_lf,0)))</f>
        <v>1+0.0243863247952452i</v>
      </c>
      <c r="R19" s="18">
        <f>IMABS(Q19)</f>
        <v>1.0002973022242034</v>
      </c>
      <c r="S19" s="18">
        <f>IMARGUMENT(Q19)</f>
        <v>2.4381492395178617E-2</v>
      </c>
      <c r="T19" s="18" t="str">
        <f t="shared" ref="T19:T82" si="52">IMSUM(COMPLEX(1,0),IMDIV(COMPLEX(0,2*PI()*O19),COMPLEX(wz_esr,0)))</f>
        <v>1+0.000113802849044477i</v>
      </c>
      <c r="U19" s="18">
        <f>IMABS(T19)</f>
        <v>1.0000000064755441</v>
      </c>
      <c r="V19" s="18">
        <f>IMARGUMENT(T19)</f>
        <v>1.1380284855318675E-4</v>
      </c>
      <c r="W19" s="32" t="str">
        <f t="shared" ref="W19:W82" si="53">IMSUB(COMPLEX(1,0),IMDIV(COMPLEX(0,2*PI()*O19),COMPLEX(wz_rhp,0)))</f>
        <v>1-0.00015716652096538i</v>
      </c>
      <c r="X19" s="18">
        <f>IMABS(W19)</f>
        <v>1.0000000123506576</v>
      </c>
      <c r="Y19" s="18">
        <f>IMARGUMENT(W19)</f>
        <v>-1.5716651967130675E-4</v>
      </c>
      <c r="Z19" s="32" t="str">
        <f t="shared" ref="Z19:Z82" si="54">IMSUM(COMPLEX(1,0),IMDIV(COMPLEX(0,2*PI()*O19),COMPLEX(Q*(wsl/2),0)),IMDIV(IMPOWER(COMPLEX(0,2*PI()*O19),2),IMPOWER(COMPLEX(wsl/2,0),2)))</f>
        <v>0.999999999581149+0.0000771367926948506i</v>
      </c>
      <c r="AA19" s="18">
        <f>IMABS(Z19)</f>
        <v>1.0000000025561915</v>
      </c>
      <c r="AB19" s="18">
        <f>IMARGUMENT(Z19)</f>
        <v>7.713679257416926E-5</v>
      </c>
      <c r="AC19" s="68" t="str">
        <f>(IMDIV(IMPRODUCT(P19,T19,W19),IMPRODUCT(Q19,Z19)))</f>
        <v>23.2896529697107-0.570757132889633i</v>
      </c>
      <c r="AD19" s="66">
        <f>20*LOG(IMABS(AC19))</f>
        <v>27.345867884163688</v>
      </c>
      <c r="AE19" s="63">
        <f>(180/PI())*IMARGUMENT(AC19)</f>
        <v>-1.4038607804729846</v>
      </c>
      <c r="AF19" s="51" t="e">
        <f>COMPLEX($B$68,0)</f>
        <v>#NUM!</v>
      </c>
      <c r="AG19" s="51" t="str">
        <f t="shared" ref="AG19:AG82" si="55">IMSUM(COMPLEX(1,0),IMDIV(COMPLEX(0,2*PI()*O19),COMPLEX(wp_lf_DCM,0)))</f>
        <v>1-0.0341408547133433i</v>
      </c>
      <c r="AH19" s="51">
        <f>IMABS(AG19)</f>
        <v>1.0005826292518563</v>
      </c>
      <c r="AI19" s="51">
        <f>IMARGUMENT(AG19)</f>
        <v>-3.4127599145631536E-2</v>
      </c>
      <c r="AJ19" s="51" t="str">
        <f t="shared" ref="AJ19:AJ82" si="56">IMSUM(COMPLEX(1,0),IMDIV(COMPLEX(0,2*PI()*O19),COMPLEX(wz1_dcm,0)))</f>
        <v>1+0.000113802849044477i</v>
      </c>
      <c r="AK19" s="51">
        <f>IMABS(AJ19)</f>
        <v>1.0000000064755441</v>
      </c>
      <c r="AL19" s="51">
        <f>IMARGUMENT(AJ19)</f>
        <v>1.1380284855318675E-4</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-0.000170731707317073</v>
      </c>
      <c r="AT19" s="32" t="str">
        <f t="shared" ref="AT19:AT82" si="59">COMPLEX(0,2*PI()*O19*wp0_ea)</f>
        <v>2.44322500773454E-06i</v>
      </c>
      <c r="AU19" s="32">
        <f>IMABS(AT19)</f>
        <v>2.4432250077345401E-6</v>
      </c>
      <c r="AV19" s="32">
        <f>IMARGUMENT(AT19)</f>
        <v>1.5707963267948966</v>
      </c>
      <c r="AW19" s="32" t="str">
        <f t="shared" ref="AW19:AW82" si="60">IMSUM(COMPLEX(1,0),IMDIV(COMPLEX(0,2*PI()*O19),COMPLEX(wp1_ea,0)))</f>
        <v>1+0.000520183584749243i</v>
      </c>
      <c r="AX19" s="32">
        <f>IMABS(AW19)</f>
        <v>1.0000001352954717</v>
      </c>
      <c r="AY19" s="32">
        <f>IMARGUMENT(AW19)</f>
        <v>5.2018353783025843E-4</v>
      </c>
      <c r="AZ19" s="32" t="str">
        <f t="shared" ref="AZ19:AZ82" si="61">IMSUM(COMPLEX(1,0),IMDIV(COMPLEX(0,2*PI()*O19),COMPLEX(wz_ea,0)))</f>
        <v>1+0.00988348811023563i</v>
      </c>
      <c r="BA19" s="32">
        <f>IMABS(AZ19)</f>
        <v>1.0000488404759167</v>
      </c>
      <c r="BB19" s="32">
        <f>IMARGUMENT(AZ19)</f>
        <v>9.8831663117286868E-3</v>
      </c>
      <c r="BC19" s="60" t="str">
        <f>IMPRODUCT(AS19,IMDIV(AZ19,IMPRODUCT(AT19,AW19)))</f>
        <v>-0.654304261840446+69.8799899102959i</v>
      </c>
      <c r="BD19" s="51">
        <f>20*LOG(IMABS(BC19))</f>
        <v>36.887437403854861</v>
      </c>
      <c r="BE19" s="63">
        <f>(180/PI())*IMARGUMENT(BC19)</f>
        <v>90.536459396598062</v>
      </c>
      <c r="BF19" s="60" t="str">
        <f>IMPRODUCT(AC19,BC19)</f>
        <v>24.6459834926903+1627.8541633622i</v>
      </c>
      <c r="BG19" s="66">
        <f>20*LOG(IMABS(BF19))</f>
        <v>64.233305288018542</v>
      </c>
      <c r="BH19" s="63">
        <f>(180/PI())*IMARGUMENT(BF19)</f>
        <v>89.132598616125094</v>
      </c>
      <c r="BI19" s="60" t="e">
        <f>IMPRODUCT(AP19,BC19)</f>
        <v>#NUM!</v>
      </c>
      <c r="BJ19" s="66" t="e">
        <f>20*LOG(IMABS(BI19))</f>
        <v>#NUM!</v>
      </c>
      <c r="BK19" s="63" t="e">
        <f>(180/PI())*IMARGUMENT(BI19)</f>
        <v>#NUM!</v>
      </c>
      <c r="BL19" s="51">
        <f>IF($B$31=0,BJ19,BG19)</f>
        <v>64.233305288018542</v>
      </c>
      <c r="BM19" s="63">
        <f>IF($B$31=0,BK19,BH19)</f>
        <v>89.132598616125094</v>
      </c>
    </row>
    <row r="20" spans="1:65" x14ac:dyDescent="0.3">
      <c r="A20" t="s">
        <v>33</v>
      </c>
      <c r="B20" s="45">
        <f>IOUT</f>
        <v>8</v>
      </c>
      <c r="C20" t="s">
        <v>11</v>
      </c>
      <c r="E20" t="s">
        <v>34</v>
      </c>
      <c r="N20" s="11">
        <v>2</v>
      </c>
      <c r="O20" s="52">
        <f t="shared" ref="O20:O83" si="62">10^(1+(N20/100))</f>
        <v>10.471285480509</v>
      </c>
      <c r="P20" s="50" t="str">
        <f t="shared" si="50"/>
        <v>23.3035714285714</v>
      </c>
      <c r="Q20" s="18" t="str">
        <f t="shared" si="51"/>
        <v>1+0.0249543552704568i</v>
      </c>
      <c r="R20" s="18">
        <f t="shared" ref="R20:R83" si="63">IMABS(Q20)</f>
        <v>1.0003113114660676</v>
      </c>
      <c r="S20" s="18">
        <f t="shared" ref="S20:S83" si="64">IMARGUMENT(Q20)</f>
        <v>2.4949177347524682E-2</v>
      </c>
      <c r="T20" s="18" t="str">
        <f t="shared" si="52"/>
        <v>1+0.000116453657928798i</v>
      </c>
      <c r="U20" s="18">
        <f t="shared" ref="U20:U83" si="65">IMABS(T20)</f>
        <v>1.0000000067807271</v>
      </c>
      <c r="V20" s="18">
        <f t="shared" ref="V20:V83" si="66">IMARGUMENT(T20)</f>
        <v>1.16453657402371E-4</v>
      </c>
      <c r="W20" s="32" t="str">
        <f t="shared" si="53"/>
        <v>1-0.00016082739952502i</v>
      </c>
      <c r="X20" s="18">
        <f t="shared" ref="X20:X83" si="67">IMABS(W20)</f>
        <v>1.0000000129327262</v>
      </c>
      <c r="Y20" s="18">
        <f t="shared" ref="Y20:Y83" si="68">IMARGUMENT(W20)</f>
        <v>-1.6082739813839554E-4</v>
      </c>
      <c r="Z20" s="32" t="str">
        <f t="shared" si="54"/>
        <v>0.999999999561409+0.0000789335394116539i</v>
      </c>
      <c r="AA20" s="18">
        <f t="shared" ref="AA20:AA83" si="69">IMABS(Z20)</f>
        <v>1.0000000026766607</v>
      </c>
      <c r="AB20" s="18">
        <f t="shared" ref="AB20:AB83" si="70">IMARGUMENT(Z20)</f>
        <v>7.8933539282341546E-5</v>
      </c>
      <c r="AC20" s="68" t="str">
        <f t="shared" ref="AC20:AC83" si="71">(IMDIV(IMPRODUCT(P20,T20,W20),IMPRODUCT(Q20,Z20)))</f>
        <v>23.2889974211766-0.584035415590038i</v>
      </c>
      <c r="AD20" s="66">
        <f t="shared" ref="AD20:AD83" si="72">20*LOG(IMABS(AC20))</f>
        <v>27.345746245112764</v>
      </c>
      <c r="AE20" s="63">
        <f t="shared" ref="AE20:AE83" si="73">(180/PI())*IMARGUMENT(AC20)</f>
        <v>-1.436547551064854</v>
      </c>
      <c r="AF20" s="51" t="e">
        <f t="shared" ref="AF20:AF83" si="74">COMPLEX($B$68,0)</f>
        <v>#NUM!</v>
      </c>
      <c r="AG20" s="51" t="str">
        <f t="shared" si="55"/>
        <v>1-0.0349360973786396i</v>
      </c>
      <c r="AH20" s="51">
        <f t="shared" ref="AH20:AH83" si="75">IMABS(AG20)</f>
        <v>1.0006100793516173</v>
      </c>
      <c r="AI20" s="51">
        <f t="shared" ref="AI20:AI83" si="76">IMARGUMENT(AG20)</f>
        <v>-3.4921894249611764E-2</v>
      </c>
      <c r="AJ20" s="51" t="str">
        <f t="shared" si="56"/>
        <v>1+0.000116453657928798i</v>
      </c>
      <c r="AK20" s="51">
        <f t="shared" ref="AK20:AK83" si="77">IMABS(AJ20)</f>
        <v>1.0000000067807271</v>
      </c>
      <c r="AL20" s="51">
        <f t="shared" ref="AL20:AL83" si="78">IMARGUMENT(AJ20)</f>
        <v>1.16453657402371E-4</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-0.000170731707317073</v>
      </c>
      <c r="AT20" s="32" t="str">
        <f t="shared" si="59"/>
        <v>2.50013502897985E-06i</v>
      </c>
      <c r="AU20" s="32">
        <f t="shared" ref="AU20:AU83" si="84">IMABS(AT20)</f>
        <v>2.5001350289798498E-6</v>
      </c>
      <c r="AV20" s="32">
        <f t="shared" ref="AV20:AV83" si="85">IMARGUMENT(AT20)</f>
        <v>1.5707963267948966</v>
      </c>
      <c r="AW20" s="32" t="str">
        <f t="shared" si="60"/>
        <v>1+0.000532300216973382i</v>
      </c>
      <c r="AX20" s="32">
        <f t="shared" ref="AX20:AX83" si="86">IMABS(AW20)</f>
        <v>1.0000001416717506</v>
      </c>
      <c r="AY20" s="32">
        <f t="shared" ref="AY20:AY83" si="87">IMARGUMENT(AW20)</f>
        <v>5.3230016669878464E-4</v>
      </c>
      <c r="AZ20" s="32" t="str">
        <f t="shared" si="61"/>
        <v>1+0.0101137041224943i</v>
      </c>
      <c r="BA20" s="32">
        <f t="shared" ref="BA20:BA83" si="88">IMABS(AZ20)</f>
        <v>1.0000511421977765</v>
      </c>
      <c r="BB20" s="32">
        <f t="shared" ref="BB20:BB83" si="89">IMARGUMENT(AZ20)</f>
        <v>1.0113359310134079E-2</v>
      </c>
      <c r="BC20" s="60" t="str">
        <f t="shared" ref="BC20:BC83" si="90">IMPRODUCT(AS20,IMDIV(AZ20,IMPRODUCT(AT20,AW20)))</f>
        <v>-0.654304253496394+68.2893428158187i</v>
      </c>
      <c r="BD20" s="51">
        <f t="shared" ref="BD20:BD83" si="91">20*LOG(IMABS(BC20))</f>
        <v>36.68745733997384</v>
      </c>
      <c r="BE20" s="63">
        <f t="shared" ref="BE20:BE83" si="92">(180/PI())*IMARGUMENT(BC20)</f>
        <v>90.548954252184075</v>
      </c>
      <c r="BF20" s="60" t="str">
        <f t="shared" ref="BF20:BF83" si="93">IMPRODUCT(AC20,BC20)</f>
        <v>24.6453046394648+1590.77246558806i</v>
      </c>
      <c r="BG20" s="66">
        <f t="shared" ref="BG20:BG83" si="94">20*LOG(IMABS(BF20))</f>
        <v>64.033203585086611</v>
      </c>
      <c r="BH20" s="63">
        <f t="shared" ref="BH20:BH83" si="95">(180/PI())*IMARGUMENT(BF20)</f>
        <v>89.112406701119227</v>
      </c>
      <c r="BI20" s="60" t="e">
        <f t="shared" ref="BI20:BI49" si="96">IMPRODUCT(AP20,BC20)</f>
        <v>#NUM!</v>
      </c>
      <c r="BJ20" s="66" t="e">
        <f t="shared" ref="BJ20:BJ83" si="97">20*LOG(IMABS(BI20))</f>
        <v>#NUM!</v>
      </c>
      <c r="BK20" s="63" t="e">
        <f t="shared" ref="BK20:BK49" si="98">(180/PI())*IMARGUMENT(BI20)</f>
        <v>#NUM!</v>
      </c>
      <c r="BL20" s="51">
        <f t="shared" ref="BL20:BL83" si="99">IF($B$31=0,BJ20,BG20)</f>
        <v>64.033203585086611</v>
      </c>
      <c r="BM20" s="63">
        <f t="shared" ref="BM20:BM83" si="100">IF($B$31=0,BK20,BH20)</f>
        <v>89.112406701119227</v>
      </c>
    </row>
    <row r="21" spans="1:65" s="32" customFormat="1" x14ac:dyDescent="0.3">
      <c r="A21"/>
      <c r="B21"/>
      <c r="C21"/>
      <c r="D21"/>
      <c r="E21"/>
      <c r="F21"/>
      <c r="G21"/>
      <c r="N21" s="11">
        <v>3</v>
      </c>
      <c r="O21" s="52">
        <f t="shared" si="62"/>
        <v>10.715193052376069</v>
      </c>
      <c r="P21" s="50" t="str">
        <f t="shared" si="50"/>
        <v>23.3035714285714</v>
      </c>
      <c r="Q21" s="18" t="str">
        <f t="shared" si="51"/>
        <v>1+0.0255356168751427i</v>
      </c>
      <c r="R21" s="18">
        <f t="shared" si="63"/>
        <v>1.0003259807328779</v>
      </c>
      <c r="S21" s="18">
        <f t="shared" si="64"/>
        <v>2.5530068728405009E-2</v>
      </c>
      <c r="T21" s="18" t="str">
        <f t="shared" si="52"/>
        <v>1+0.000119166212083999i</v>
      </c>
      <c r="U21" s="18">
        <f t="shared" si="65"/>
        <v>1.000000007100293</v>
      </c>
      <c r="V21" s="18">
        <f t="shared" si="66"/>
        <v>1.1916621151992231E-4</v>
      </c>
      <c r="W21" s="32" t="str">
        <f t="shared" si="53"/>
        <v>1-0.00016457355090069i</v>
      </c>
      <c r="X21" s="18">
        <f t="shared" si="67"/>
        <v>1.0000000135422267</v>
      </c>
      <c r="Y21" s="18">
        <f t="shared" si="68"/>
        <v>-1.6457354941489511E-4</v>
      </c>
      <c r="Z21" s="32" t="str">
        <f t="shared" si="54"/>
        <v>0.999999999540739+0.0000807721377358622i</v>
      </c>
      <c r="AA21" s="18">
        <f t="shared" si="69"/>
        <v>1.000000002802808</v>
      </c>
      <c r="AB21" s="18">
        <f t="shared" si="70"/>
        <v>8.0772137597301492E-5</v>
      </c>
      <c r="AC21" s="68" t="str">
        <f t="shared" si="71"/>
        <v>23.2883110169508-0.597621820262628i</v>
      </c>
      <c r="AD21" s="66">
        <f t="shared" si="72"/>
        <v>27.345618877041797</v>
      </c>
      <c r="AE21" s="63">
        <f t="shared" si="73"/>
        <v>-1.4699947402234124</v>
      </c>
      <c r="AF21" s="51" t="e">
        <f t="shared" si="74"/>
        <v>#NUM!</v>
      </c>
      <c r="AG21" s="51" t="str">
        <f t="shared" si="55"/>
        <v>1-0.0357498636251999i</v>
      </c>
      <c r="AH21" s="51">
        <f t="shared" si="75"/>
        <v>1.000638822327627</v>
      </c>
      <c r="AI21" s="51">
        <f t="shared" si="76"/>
        <v>-3.5734645222952145E-2</v>
      </c>
      <c r="AJ21" s="51" t="str">
        <f t="shared" si="56"/>
        <v>1+0.000119166212083999i</v>
      </c>
      <c r="AK21" s="51">
        <f t="shared" si="77"/>
        <v>1.000000007100293</v>
      </c>
      <c r="AL21" s="51">
        <f t="shared" si="78"/>
        <v>1.1916621151992231E-4</v>
      </c>
      <c r="AM21" s="51" t="e">
        <f t="shared" si="57"/>
        <v>#NUM!</v>
      </c>
      <c r="AN21" s="51" t="e">
        <f t="shared" si="79"/>
        <v>#NUM!</v>
      </c>
      <c r="AO21" s="51" t="e">
        <f t="shared" si="80"/>
        <v>#NUM!</v>
      </c>
      <c r="AP21" s="60" t="e">
        <f t="shared" si="81"/>
        <v>#NUM!</v>
      </c>
      <c r="AQ21" s="51" t="e">
        <f t="shared" si="82"/>
        <v>#NUM!</v>
      </c>
      <c r="AR21" s="63" t="e">
        <f t="shared" si="83"/>
        <v>#NUM!</v>
      </c>
      <c r="AS21" s="32" t="str">
        <f t="shared" si="58"/>
        <v>-0.000170731707317073</v>
      </c>
      <c r="AT21" s="32" t="str">
        <f t="shared" si="59"/>
        <v>2.55837065491072E-06i</v>
      </c>
      <c r="AU21" s="32">
        <f t="shared" si="84"/>
        <v>2.5583706549107201E-6</v>
      </c>
      <c r="AV21" s="32">
        <f t="shared" si="85"/>
        <v>1.5707963267948966</v>
      </c>
      <c r="AW21" s="32" t="str">
        <f t="shared" si="60"/>
        <v>1+0.000544699081818387i</v>
      </c>
      <c r="AX21" s="32">
        <f t="shared" si="86"/>
        <v>1.0000001483485339</v>
      </c>
      <c r="AY21" s="32">
        <f t="shared" si="87"/>
        <v>5.4469902794818581E-4</v>
      </c>
      <c r="AZ21" s="32" t="str">
        <f t="shared" si="61"/>
        <v>1+0.0103492825545494i</v>
      </c>
      <c r="BA21" s="32">
        <f t="shared" si="88"/>
        <v>1.0000535523907677</v>
      </c>
      <c r="BB21" s="32">
        <f t="shared" si="89"/>
        <v>1.0348913082517302E-2</v>
      </c>
      <c r="BC21" s="60" t="str">
        <f t="shared" si="90"/>
        <v>-0.6543042447591+66.7349036348186i</v>
      </c>
      <c r="BD21" s="51">
        <f t="shared" si="91"/>
        <v>36.48747821555456</v>
      </c>
      <c r="BE21" s="63">
        <f t="shared" si="92"/>
        <v>90.56174008676966</v>
      </c>
      <c r="BF21" s="60" t="str">
        <f t="shared" si="93"/>
        <v>24.6445938336303+1554.53421802765i</v>
      </c>
      <c r="BG21" s="66">
        <f t="shared" si="94"/>
        <v>63.833097092596333</v>
      </c>
      <c r="BH21" s="63">
        <f t="shared" si="95"/>
        <v>89.091745346546247</v>
      </c>
      <c r="BI21" s="60" t="e">
        <f t="shared" si="96"/>
        <v>#NUM!</v>
      </c>
      <c r="BJ21" s="66" t="e">
        <f t="shared" si="97"/>
        <v>#NUM!</v>
      </c>
      <c r="BK21" s="63" t="e">
        <f t="shared" si="98"/>
        <v>#NUM!</v>
      </c>
      <c r="BL21" s="51">
        <f t="shared" si="99"/>
        <v>63.833097092596333</v>
      </c>
      <c r="BM21" s="63">
        <f t="shared" si="100"/>
        <v>89.091745346546247</v>
      </c>
    </row>
    <row r="22" spans="1:65" x14ac:dyDescent="0.3">
      <c r="A22" t="s">
        <v>168</v>
      </c>
      <c r="N22" s="11">
        <v>4</v>
      </c>
      <c r="O22" s="52">
        <f t="shared" si="62"/>
        <v>10.964781961431854</v>
      </c>
      <c r="P22" s="50" t="str">
        <f t="shared" si="50"/>
        <v>23.3035714285714</v>
      </c>
      <c r="Q22" s="18" t="str">
        <f t="shared" si="51"/>
        <v>1+0.0261304178018997i</v>
      </c>
      <c r="R22" s="18">
        <f t="shared" si="63"/>
        <v>1.0003413411103741</v>
      </c>
      <c r="S22" s="18">
        <f t="shared" si="64"/>
        <v>2.6124472965116888E-2</v>
      </c>
      <c r="T22" s="18" t="str">
        <f t="shared" si="52"/>
        <v>1+0.000121941949742199i</v>
      </c>
      <c r="U22" s="18">
        <f t="shared" si="65"/>
        <v>1.0000000074349196</v>
      </c>
      <c r="V22" s="18">
        <f t="shared" si="66"/>
        <v>1.2194194913777996E-4</v>
      </c>
      <c r="W22" s="32" t="str">
        <f t="shared" si="53"/>
        <v>1-0.000168406961351436i</v>
      </c>
      <c r="X22" s="18">
        <f t="shared" si="67"/>
        <v>1.0000000141804524</v>
      </c>
      <c r="Y22" s="18">
        <f t="shared" si="68"/>
        <v>-1.6840695975937811E-4</v>
      </c>
      <c r="Z22" s="32" t="str">
        <f t="shared" si="54"/>
        <v>0.999999999519094+0.0000826535625166436i</v>
      </c>
      <c r="AA22" s="18">
        <f t="shared" si="69"/>
        <v>1.0000000029348997</v>
      </c>
      <c r="AB22" s="18">
        <f t="shared" si="70"/>
        <v>8.2653562368173184E-5</v>
      </c>
      <c r="AC22" s="68" t="str">
        <f t="shared" si="71"/>
        <v>23.287592306643-0.611523440509156i</v>
      </c>
      <c r="AD22" s="66">
        <f t="shared" si="72"/>
        <v>27.345485510302545</v>
      </c>
      <c r="AE22" s="63">
        <f t="shared" si="73"/>
        <v>-1.5042199921938817</v>
      </c>
      <c r="AF22" s="51" t="e">
        <f t="shared" si="74"/>
        <v>#NUM!</v>
      </c>
      <c r="AG22" s="51" t="str">
        <f t="shared" si="55"/>
        <v>1-0.0365825849226597i</v>
      </c>
      <c r="AH22" s="51">
        <f t="shared" si="75"/>
        <v>1.0006689190334752</v>
      </c>
      <c r="AI22" s="51">
        <f t="shared" si="76"/>
        <v>-3.6566278699530379E-2</v>
      </c>
      <c r="AJ22" s="51" t="str">
        <f t="shared" si="56"/>
        <v>1+0.000121941949742199i</v>
      </c>
      <c r="AK22" s="51">
        <f t="shared" si="77"/>
        <v>1.0000000074349196</v>
      </c>
      <c r="AL22" s="51">
        <f t="shared" si="78"/>
        <v>1.2194194913777996E-4</v>
      </c>
      <c r="AM22" s="51" t="e">
        <f t="shared" si="57"/>
        <v>#NUM!</v>
      </c>
      <c r="AN22" s="51" t="e">
        <f t="shared" si="79"/>
        <v>#NUM!</v>
      </c>
      <c r="AO22" s="51" t="e">
        <f t="shared" si="80"/>
        <v>#NUM!</v>
      </c>
      <c r="AP22" s="60" t="e">
        <f t="shared" si="81"/>
        <v>#NUM!</v>
      </c>
      <c r="AQ22" s="51" t="e">
        <f t="shared" si="82"/>
        <v>#NUM!</v>
      </c>
      <c r="AR22" s="63" t="e">
        <f t="shared" si="83"/>
        <v>#NUM!</v>
      </c>
      <c r="AS22" s="32" t="str">
        <f t="shared" si="58"/>
        <v>-0.000170731707317073</v>
      </c>
      <c r="AT22" s="32" t="str">
        <f t="shared" si="59"/>
        <v>2.61796276282686E-06i</v>
      </c>
      <c r="AU22" s="32">
        <f t="shared" si="84"/>
        <v>2.61796276282686E-6</v>
      </c>
      <c r="AV22" s="32">
        <f t="shared" si="85"/>
        <v>1.5707963267948966</v>
      </c>
      <c r="AW22" s="32" t="str">
        <f t="shared" si="60"/>
        <v>1+0.000557386753326517i</v>
      </c>
      <c r="AX22" s="32">
        <f t="shared" si="86"/>
        <v>1.0000001553399844</v>
      </c>
      <c r="AY22" s="32">
        <f t="shared" si="87"/>
        <v>5.5738669560355695E-4</v>
      </c>
      <c r="AZ22" s="32" t="str">
        <f t="shared" si="61"/>
        <v>1+0.0105903483132038i</v>
      </c>
      <c r="BA22" s="32">
        <f t="shared" si="88"/>
        <v>1.0000560761664292</v>
      </c>
      <c r="BB22" s="32">
        <f t="shared" si="89"/>
        <v>1.0589952417987601E-2</v>
      </c>
      <c r="BC22" s="60" t="str">
        <f t="shared" si="90"/>
        <v>-0.654304235610027+65.2158481830663i</v>
      </c>
      <c r="BD22" s="51">
        <f t="shared" si="91"/>
        <v>36.287500074862969</v>
      </c>
      <c r="BE22" s="63">
        <f t="shared" si="92"/>
        <v>90.574823673580212</v>
      </c>
      <c r="BF22" s="60" t="str">
        <f t="shared" si="93"/>
        <v>24.6438495732355+1519.12020679647i</v>
      </c>
      <c r="BG22" s="66">
        <f t="shared" si="94"/>
        <v>63.6329855851655</v>
      </c>
      <c r="BH22" s="63">
        <f t="shared" si="95"/>
        <v>89.070603681386345</v>
      </c>
      <c r="BI22" s="60" t="e">
        <f t="shared" si="96"/>
        <v>#NUM!</v>
      </c>
      <c r="BJ22" s="66" t="e">
        <f t="shared" si="97"/>
        <v>#NUM!</v>
      </c>
      <c r="BK22" s="63" t="e">
        <f t="shared" si="98"/>
        <v>#NUM!</v>
      </c>
      <c r="BL22" s="51">
        <f t="shared" si="99"/>
        <v>63.6329855851655</v>
      </c>
      <c r="BM22" s="63">
        <f t="shared" si="100"/>
        <v>89.070603681386345</v>
      </c>
    </row>
    <row r="23" spans="1:65" x14ac:dyDescent="0.3">
      <c r="A23" t="s">
        <v>169</v>
      </c>
      <c r="B23" s="45">
        <f>Lm</f>
        <v>3.2999999999999997E-6</v>
      </c>
      <c r="C23" t="s">
        <v>86</v>
      </c>
      <c r="E23" t="s">
        <v>170</v>
      </c>
      <c r="N23" s="11">
        <v>5</v>
      </c>
      <c r="O23" s="52">
        <f t="shared" si="62"/>
        <v>11.220184543019636</v>
      </c>
      <c r="P23" s="50" t="str">
        <f t="shared" si="50"/>
        <v>23.3035714285714</v>
      </c>
      <c r="Q23" s="18" t="str">
        <f t="shared" si="51"/>
        <v>1+0.0267390734220522i</v>
      </c>
      <c r="R23" s="18">
        <f t="shared" si="63"/>
        <v>1.000357425147367</v>
      </c>
      <c r="S23" s="18">
        <f t="shared" si="64"/>
        <v>2.6732703537590045E-2</v>
      </c>
      <c r="T23" s="18" t="str">
        <f t="shared" si="52"/>
        <v>1+0.000124782342636244i</v>
      </c>
      <c r="U23" s="18">
        <f t="shared" si="65"/>
        <v>1.0000000077853164</v>
      </c>
      <c r="V23" s="18">
        <f t="shared" si="66"/>
        <v>1.2478234198859731E-4</v>
      </c>
      <c r="W23" s="32" t="str">
        <f t="shared" si="53"/>
        <v>1-0.00017232966340222i</v>
      </c>
      <c r="X23" s="18">
        <f t="shared" si="67"/>
        <v>1.0000000148487564</v>
      </c>
      <c r="Y23" s="18">
        <f t="shared" si="68"/>
        <v>-1.7232966169629922E-4</v>
      </c>
      <c r="Z23" s="32" t="str">
        <f t="shared" si="54"/>
        <v>0.99999999949643+0.0000845788113103206i</v>
      </c>
      <c r="AA23" s="18">
        <f t="shared" si="69"/>
        <v>1.0000000030732175</v>
      </c>
      <c r="AB23" s="18">
        <f t="shared" si="70"/>
        <v>8.4578811151231662E-5</v>
      </c>
      <c r="AC23" s="68" t="str">
        <f t="shared" si="71"/>
        <v>23.2868397718732-0.625747529207004i</v>
      </c>
      <c r="AD23" s="66">
        <f t="shared" si="72"/>
        <v>27.345345862572433</v>
      </c>
      <c r="AE23" s="63">
        <f t="shared" si="73"/>
        <v>-1.5392413573399644</v>
      </c>
      <c r="AF23" s="51" t="e">
        <f t="shared" si="74"/>
        <v>#NUM!</v>
      </c>
      <c r="AG23" s="51" t="str">
        <f t="shared" si="55"/>
        <v>1-0.0374347027908732i</v>
      </c>
      <c r="AH23" s="51">
        <f t="shared" si="75"/>
        <v>1.0007004331831986</v>
      </c>
      <c r="AI23" s="51">
        <f t="shared" si="76"/>
        <v>-3.7417231018439634E-2</v>
      </c>
      <c r="AJ23" s="51" t="str">
        <f t="shared" si="56"/>
        <v>1+0.000124782342636244i</v>
      </c>
      <c r="AK23" s="51">
        <f t="shared" si="77"/>
        <v>1.0000000077853164</v>
      </c>
      <c r="AL23" s="51">
        <f t="shared" si="78"/>
        <v>1.2478234198859731E-4</v>
      </c>
      <c r="AM23" s="51" t="e">
        <f t="shared" si="57"/>
        <v>#NUM!</v>
      </c>
      <c r="AN23" s="51" t="e">
        <f t="shared" si="79"/>
        <v>#NUM!</v>
      </c>
      <c r="AO23" s="51" t="e">
        <f t="shared" si="80"/>
        <v>#NUM!</v>
      </c>
      <c r="AP23" s="60" t="e">
        <f t="shared" si="81"/>
        <v>#NUM!</v>
      </c>
      <c r="AQ23" s="51" t="e">
        <f t="shared" si="82"/>
        <v>#NUM!</v>
      </c>
      <c r="AR23" s="63" t="e">
        <f t="shared" si="83"/>
        <v>#NUM!</v>
      </c>
      <c r="AS23" s="32" t="str">
        <f t="shared" si="58"/>
        <v>-0.000170731707317073</v>
      </c>
      <c r="AT23" s="32" t="str">
        <f t="shared" si="59"/>
        <v>2.67894294925269E-06i</v>
      </c>
      <c r="AU23" s="32">
        <f t="shared" si="84"/>
        <v>2.67894294925269E-6</v>
      </c>
      <c r="AV23" s="32">
        <f t="shared" si="85"/>
        <v>1.5707963267948966</v>
      </c>
      <c r="AW23" s="32" t="str">
        <f t="shared" si="60"/>
        <v>1+0.000570369958669146i</v>
      </c>
      <c r="AX23" s="32">
        <f t="shared" si="86"/>
        <v>1.0000001626609316</v>
      </c>
      <c r="AY23" s="32">
        <f t="shared" si="87"/>
        <v>5.7036989681788042E-4</v>
      </c>
      <c r="AZ23" s="32" t="str">
        <f t="shared" si="61"/>
        <v>1+0.0108370292147138i</v>
      </c>
      <c r="BA23" s="32">
        <f t="shared" si="88"/>
        <v>1.000058718877147</v>
      </c>
      <c r="BB23" s="32">
        <f t="shared" si="89"/>
        <v>1.0836605006692012E-2</v>
      </c>
      <c r="BC23" s="60" t="str">
        <f t="shared" si="90"/>
        <v>-0.654304226029777+63.7313710372537i</v>
      </c>
      <c r="BD23" s="51">
        <f t="shared" si="91"/>
        <v>36.087522964250226</v>
      </c>
      <c r="BE23" s="63">
        <f t="shared" si="92"/>
        <v>90.588211943284819</v>
      </c>
      <c r="BF23" s="60" t="str">
        <f t="shared" si="93"/>
        <v>24.6430702859214+1484.51165503912i</v>
      </c>
      <c r="BG23" s="66">
        <f t="shared" si="94"/>
        <v>63.432868826822684</v>
      </c>
      <c r="BH23" s="63">
        <f t="shared" si="95"/>
        <v>89.048970585944858</v>
      </c>
      <c r="BI23" s="60" t="e">
        <f t="shared" si="96"/>
        <v>#NUM!</v>
      </c>
      <c r="BJ23" s="66" t="e">
        <f t="shared" si="97"/>
        <v>#NUM!</v>
      </c>
      <c r="BK23" s="63" t="e">
        <f t="shared" si="98"/>
        <v>#NUM!</v>
      </c>
      <c r="BL23" s="51">
        <f t="shared" si="99"/>
        <v>63.432868826822684</v>
      </c>
      <c r="BM23" s="63">
        <f t="shared" si="100"/>
        <v>89.048970585944858</v>
      </c>
    </row>
    <row r="24" spans="1:65" x14ac:dyDescent="0.3">
      <c r="A24" s="32"/>
      <c r="B24" s="32"/>
      <c r="C24" s="32"/>
      <c r="D24" s="32"/>
      <c r="E24" s="32"/>
      <c r="F24" s="32"/>
      <c r="G24" s="32"/>
      <c r="N24" s="11">
        <v>6</v>
      </c>
      <c r="O24" s="52">
        <f t="shared" si="62"/>
        <v>11.481536214968834</v>
      </c>
      <c r="P24" s="50" t="str">
        <f t="shared" si="50"/>
        <v>23.3035714285714</v>
      </c>
      <c r="Q24" s="18" t="str">
        <f t="shared" si="51"/>
        <v>1+0.0273619064528666i</v>
      </c>
      <c r="R24" s="18">
        <f t="shared" si="63"/>
        <v>1.0003742669245024</v>
      </c>
      <c r="S24" s="18">
        <f t="shared" si="64"/>
        <v>2.7355081136602052E-2</v>
      </c>
      <c r="T24" s="18" t="str">
        <f t="shared" si="52"/>
        <v>1+0.000127688896780044i</v>
      </c>
      <c r="U24" s="18">
        <f t="shared" si="65"/>
        <v>1.0000000081522271</v>
      </c>
      <c r="V24" s="18">
        <f t="shared" si="66"/>
        <v>1.2768889608607808E-4</v>
      </c>
      <c r="W24" s="32" t="str">
        <f t="shared" si="53"/>
        <v>1-0.000176343736921593i</v>
      </c>
      <c r="X24" s="18">
        <f t="shared" si="67"/>
        <v>1.0000000155485567</v>
      </c>
      <c r="Y24" s="18">
        <f t="shared" si="68"/>
        <v>-1.7634373509366598E-4</v>
      </c>
      <c r="Z24" s="32" t="str">
        <f t="shared" si="54"/>
        <v>0.999999999472697+0.0000865489049092873i</v>
      </c>
      <c r="AA24" s="18">
        <f t="shared" si="69"/>
        <v>1.0000000032180534</v>
      </c>
      <c r="AB24" s="18">
        <f t="shared" si="70"/>
        <v>8.6548904738820468E-5</v>
      </c>
      <c r="AC24" s="68" t="str">
        <f t="shared" si="71"/>
        <v>23.2860518231032-0.640301501795094i</v>
      </c>
      <c r="AD24" s="66">
        <f t="shared" si="72"/>
        <v>27.345199638260741</v>
      </c>
      <c r="AE24" s="63">
        <f t="shared" si="73"/>
        <v>-1.5750773012562651</v>
      </c>
      <c r="AF24" s="51" t="e">
        <f t="shared" si="74"/>
        <v>#NUM!</v>
      </c>
      <c r="AG24" s="51" t="str">
        <f t="shared" si="55"/>
        <v>1-0.0383066690340134i</v>
      </c>
      <c r="AH24" s="51">
        <f t="shared" si="75"/>
        <v>1.0007334314853689</v>
      </c>
      <c r="AI24" s="51">
        <f t="shared" si="76"/>
        <v>-3.8287948433517349E-2</v>
      </c>
      <c r="AJ24" s="51" t="str">
        <f t="shared" si="56"/>
        <v>1+0.000127688896780044i</v>
      </c>
      <c r="AK24" s="51">
        <f t="shared" si="77"/>
        <v>1.0000000081522271</v>
      </c>
      <c r="AL24" s="51">
        <f t="shared" si="78"/>
        <v>1.2768889608607808E-4</v>
      </c>
      <c r="AM24" s="51" t="e">
        <f t="shared" si="57"/>
        <v>#NUM!</v>
      </c>
      <c r="AN24" s="51" t="e">
        <f t="shared" si="79"/>
        <v>#NUM!</v>
      </c>
      <c r="AO24" s="51" t="e">
        <f t="shared" si="80"/>
        <v>#NUM!</v>
      </c>
      <c r="AP24" s="60" t="e">
        <f t="shared" si="81"/>
        <v>#NUM!</v>
      </c>
      <c r="AQ24" s="51" t="e">
        <f t="shared" si="82"/>
        <v>#NUM!</v>
      </c>
      <c r="AR24" s="63" t="e">
        <f t="shared" si="83"/>
        <v>#NUM!</v>
      </c>
      <c r="AS24" s="32" t="str">
        <f t="shared" si="58"/>
        <v>-0.000170731707317073</v>
      </c>
      <c r="AT24" s="32" t="str">
        <f t="shared" si="59"/>
        <v>2.74134354669022E-06i</v>
      </c>
      <c r="AU24" s="32">
        <f t="shared" si="84"/>
        <v>2.7413435466902202E-6</v>
      </c>
      <c r="AV24" s="32">
        <f t="shared" si="85"/>
        <v>1.5707963267948966</v>
      </c>
      <c r="AW24" s="32" t="str">
        <f t="shared" si="60"/>
        <v>1+0.0005836555817136i</v>
      </c>
      <c r="AX24" s="32">
        <f t="shared" si="86"/>
        <v>1.0000001703269046</v>
      </c>
      <c r="AY24" s="32">
        <f t="shared" si="87"/>
        <v>5.8365551543877552E-4</v>
      </c>
      <c r="AZ24" s="32" t="str">
        <f t="shared" si="61"/>
        <v>1+0.0110894560525584i</v>
      </c>
      <c r="BA24" s="32">
        <f t="shared" si="88"/>
        <v>1.000061486127499</v>
      </c>
      <c r="BB24" s="32">
        <f t="shared" si="89"/>
        <v>1.1089001506982971E-2</v>
      </c>
      <c r="BC24" s="60" t="str">
        <f t="shared" si="90"/>
        <v>-0.654304215998019+62.2806851079488i</v>
      </c>
      <c r="BD24" s="51">
        <f t="shared" si="91"/>
        <v>35.887546932251027</v>
      </c>
      <c r="BE24" s="63">
        <f t="shared" si="92"/>
        <v>90.60191198764015</v>
      </c>
      <c r="BF24" s="60" t="str">
        <f t="shared" si="93"/>
        <v>24.6422543256422+1450.6902129742i</v>
      </c>
      <c r="BG24" s="66">
        <f t="shared" si="94"/>
        <v>63.232746570511758</v>
      </c>
      <c r="BH24" s="63">
        <f t="shared" si="95"/>
        <v>89.026834686383893</v>
      </c>
      <c r="BI24" s="60" t="e">
        <f t="shared" si="96"/>
        <v>#NUM!</v>
      </c>
      <c r="BJ24" s="66" t="e">
        <f t="shared" si="97"/>
        <v>#NUM!</v>
      </c>
      <c r="BK24" s="63" t="e">
        <f t="shared" si="98"/>
        <v>#NUM!</v>
      </c>
      <c r="BL24" s="51">
        <f t="shared" si="99"/>
        <v>63.232746570511758</v>
      </c>
      <c r="BM24" s="63">
        <f t="shared" si="100"/>
        <v>89.026834686383893</v>
      </c>
    </row>
    <row r="25" spans="1:65" x14ac:dyDescent="0.3">
      <c r="A25" t="s">
        <v>130</v>
      </c>
      <c r="B25" s="45">
        <f>R_cs</f>
        <v>4.0000000000000001E-3</v>
      </c>
      <c r="C25" s="2" t="s">
        <v>36</v>
      </c>
      <c r="E25" t="s">
        <v>171</v>
      </c>
      <c r="N25" s="11">
        <v>7</v>
      </c>
      <c r="O25" s="52">
        <f t="shared" si="62"/>
        <v>11.748975549395301</v>
      </c>
      <c r="P25" s="50" t="str">
        <f t="shared" si="50"/>
        <v>23.3035714285714</v>
      </c>
      <c r="Q25" s="18" t="str">
        <f t="shared" si="51"/>
        <v>1+0.02799924712866i</v>
      </c>
      <c r="R25" s="18">
        <f t="shared" si="63"/>
        <v>1.0003919021262475</v>
      </c>
      <c r="S25" s="18">
        <f t="shared" si="64"/>
        <v>2.799193382524677E-2</v>
      </c>
      <c r="T25" s="18" t="str">
        <f t="shared" si="52"/>
        <v>1+0.00013066315326708i</v>
      </c>
      <c r="U25" s="18">
        <f t="shared" si="65"/>
        <v>1.0000000085364298</v>
      </c>
      <c r="V25" s="18">
        <f t="shared" si="66"/>
        <v>1.3066315252348212E-4</v>
      </c>
      <c r="W25" s="32" t="str">
        <f t="shared" si="53"/>
        <v>1-0.000180451310224467i</v>
      </c>
      <c r="X25" s="18">
        <f t="shared" si="67"/>
        <v>1.0000000162813376</v>
      </c>
      <c r="Y25" s="18">
        <f t="shared" si="68"/>
        <v>-1.8045130826580788E-4</v>
      </c>
      <c r="Z25" s="32" t="str">
        <f t="shared" si="54"/>
        <v>0.999999999447846+0.0000885648878832471i</v>
      </c>
      <c r="AA25" s="18">
        <f t="shared" si="69"/>
        <v>1.0000000033697156</v>
      </c>
      <c r="AB25" s="18">
        <f t="shared" si="70"/>
        <v>8.8564887700588588E-5</v>
      </c>
      <c r="AC25" s="68" t="str">
        <f t="shared" si="71"/>
        <v>23.2852267963212-0.655192939606191i</v>
      </c>
      <c r="AD25" s="66">
        <f t="shared" si="72"/>
        <v>27.345046527886719</v>
      </c>
      <c r="AE25" s="63">
        <f t="shared" si="73"/>
        <v>-1.6117467140681994</v>
      </c>
      <c r="AF25" s="51" t="e">
        <f t="shared" si="74"/>
        <v>#NUM!</v>
      </c>
      <c r="AG25" s="51" t="str">
        <f t="shared" si="55"/>
        <v>1-0.0391989459801241i</v>
      </c>
      <c r="AH25" s="51">
        <f t="shared" si="75"/>
        <v>1.0007679837834305</v>
      </c>
      <c r="AI25" s="51">
        <f t="shared" si="76"/>
        <v>-3.9178887326581195E-2</v>
      </c>
      <c r="AJ25" s="51" t="str">
        <f t="shared" si="56"/>
        <v>1+0.00013066315326708i</v>
      </c>
      <c r="AK25" s="51">
        <f t="shared" si="77"/>
        <v>1.0000000085364298</v>
      </c>
      <c r="AL25" s="51">
        <f t="shared" si="78"/>
        <v>1.3066315252348212E-4</v>
      </c>
      <c r="AM25" s="51" t="e">
        <f t="shared" si="57"/>
        <v>#NUM!</v>
      </c>
      <c r="AN25" s="51" t="e">
        <f t="shared" si="79"/>
        <v>#NUM!</v>
      </c>
      <c r="AO25" s="51" t="e">
        <f t="shared" si="80"/>
        <v>#NUM!</v>
      </c>
      <c r="AP25" s="60" t="e">
        <f t="shared" si="81"/>
        <v>#NUM!</v>
      </c>
      <c r="AQ25" s="51" t="e">
        <f t="shared" si="82"/>
        <v>#NUM!</v>
      </c>
      <c r="AR25" s="63" t="e">
        <f t="shared" si="83"/>
        <v>#NUM!</v>
      </c>
      <c r="AS25" s="32" t="str">
        <f t="shared" si="58"/>
        <v>-0.000170731707317073</v>
      </c>
      <c r="AT25" s="32" t="str">
        <f t="shared" si="59"/>
        <v>2.80519764076217E-06i</v>
      </c>
      <c r="AU25" s="32">
        <f t="shared" si="84"/>
        <v>2.8051976407621702E-6</v>
      </c>
      <c r="AV25" s="32">
        <f t="shared" si="85"/>
        <v>1.5707963267948966</v>
      </c>
      <c r="AW25" s="32" t="str">
        <f t="shared" si="60"/>
        <v>1+0.000597250666673074i</v>
      </c>
      <c r="AX25" s="32">
        <f t="shared" si="86"/>
        <v>1.0000001783541634</v>
      </c>
      <c r="AY25" s="32">
        <f t="shared" si="87"/>
        <v>5.9725059565832075E-4</v>
      </c>
      <c r="AZ25" s="32" t="str">
        <f t="shared" si="61"/>
        <v>1+0.0113477626667884i</v>
      </c>
      <c r="BA25" s="32">
        <f t="shared" si="88"/>
        <v>1.0000643837861349</v>
      </c>
      <c r="BB25" s="32">
        <f t="shared" si="89"/>
        <v>1.1347275614122725E-2</v>
      </c>
      <c r="BC25" s="60" t="str">
        <f t="shared" si="90"/>
        <v>-0.654304205493481+60.8630212222701i</v>
      </c>
      <c r="BD25" s="51">
        <f t="shared" si="91"/>
        <v>35.687572029686379</v>
      </c>
      <c r="BE25" s="63">
        <f t="shared" si="92"/>
        <v>90.615931063218056</v>
      </c>
      <c r="BF25" s="60" t="str">
        <f t="shared" si="93"/>
        <v>24.6413999692307+1417.63794816566i</v>
      </c>
      <c r="BG25" s="66">
        <f t="shared" si="94"/>
        <v>63.032618557573073</v>
      </c>
      <c r="BH25" s="63">
        <f t="shared" si="95"/>
        <v>89.004184349149853</v>
      </c>
      <c r="BI25" s="60" t="e">
        <f t="shared" si="96"/>
        <v>#NUM!</v>
      </c>
      <c r="BJ25" s="66" t="e">
        <f t="shared" si="97"/>
        <v>#NUM!</v>
      </c>
      <c r="BK25" s="63" t="e">
        <f t="shared" si="98"/>
        <v>#NUM!</v>
      </c>
      <c r="BL25" s="51">
        <f t="shared" si="99"/>
        <v>63.032618557573073</v>
      </c>
      <c r="BM25" s="63">
        <f t="shared" si="100"/>
        <v>89.004184349149853</v>
      </c>
    </row>
    <row r="26" spans="1:65" s="32" customFormat="1" x14ac:dyDescent="0.3">
      <c r="A26" t="s">
        <v>131</v>
      </c>
      <c r="B26" s="45">
        <f>R_sl</f>
        <v>0</v>
      </c>
      <c r="C26" s="2" t="s">
        <v>36</v>
      </c>
      <c r="D26"/>
      <c r="E26" t="s">
        <v>172</v>
      </c>
      <c r="F26"/>
      <c r="G26"/>
      <c r="K26"/>
      <c r="N26" s="11">
        <v>8</v>
      </c>
      <c r="O26" s="52">
        <f t="shared" si="62"/>
        <v>12.022644346174133</v>
      </c>
      <c r="P26" s="50" t="str">
        <f t="shared" si="50"/>
        <v>23.3035714285714</v>
      </c>
      <c r="Q26" s="18" t="str">
        <f t="shared" si="51"/>
        <v>1+0.0286514333758947i</v>
      </c>
      <c r="R26" s="18">
        <f t="shared" si="63"/>
        <v>1.0004103681162513</v>
      </c>
      <c r="S26" s="18">
        <f t="shared" si="64"/>
        <v>2.8643597203701743E-2</v>
      </c>
      <c r="T26" s="18" t="str">
        <f t="shared" si="52"/>
        <v>1+0.000133706689087509i</v>
      </c>
      <c r="U26" s="18">
        <f t="shared" si="65"/>
        <v>1.0000000089387393</v>
      </c>
      <c r="V26" s="18">
        <f t="shared" si="66"/>
        <v>1.3370668829072949E-4</v>
      </c>
      <c r="W26" s="32" t="str">
        <f t="shared" si="53"/>
        <v>1-0.000184654561200577i</v>
      </c>
      <c r="X26" s="18">
        <f t="shared" si="67"/>
        <v>1.0000000170486534</v>
      </c>
      <c r="Y26" s="18">
        <f t="shared" si="68"/>
        <v>-1.8465455910183595E-4</v>
      </c>
      <c r="Z26" s="32" t="str">
        <f t="shared" si="54"/>
        <v>0.999999999421824+0.0000906278291330573i</v>
      </c>
      <c r="AA26" s="18">
        <f t="shared" si="69"/>
        <v>1.0000000035285257</v>
      </c>
      <c r="AB26" s="18">
        <f t="shared" si="70"/>
        <v>9.0627828937335153E-5</v>
      </c>
      <c r="AC26" s="68" t="str">
        <f t="shared" si="71"/>
        <v>23.2843629495745-0.670429593244597i</v>
      </c>
      <c r="AD26" s="66">
        <f t="shared" si="72"/>
        <v>27.344886207429013</v>
      </c>
      <c r="AE26" s="63">
        <f t="shared" si="73"/>
        <v>-1.6492689199220312</v>
      </c>
      <c r="AF26" s="51" t="e">
        <f t="shared" si="74"/>
        <v>#NUM!</v>
      </c>
      <c r="AG26" s="51" t="str">
        <f t="shared" si="55"/>
        <v>1-0.0401120067262527i</v>
      </c>
      <c r="AH26" s="51">
        <f t="shared" si="75"/>
        <v>1.0008041632025753</v>
      </c>
      <c r="AI26" s="51">
        <f t="shared" si="76"/>
        <v>-4.0090514424377714E-2</v>
      </c>
      <c r="AJ26" s="51" t="str">
        <f t="shared" si="56"/>
        <v>1+0.000133706689087509i</v>
      </c>
      <c r="AK26" s="51">
        <f t="shared" si="77"/>
        <v>1.0000000089387393</v>
      </c>
      <c r="AL26" s="51">
        <f t="shared" si="78"/>
        <v>1.3370668829072949E-4</v>
      </c>
      <c r="AM26" s="51" t="e">
        <f t="shared" si="57"/>
        <v>#NUM!</v>
      </c>
      <c r="AN26" s="51" t="e">
        <f t="shared" si="79"/>
        <v>#NUM!</v>
      </c>
      <c r="AO26" s="51" t="e">
        <f t="shared" si="80"/>
        <v>#NUM!</v>
      </c>
      <c r="AP26" s="60" t="e">
        <f t="shared" si="81"/>
        <v>#NUM!</v>
      </c>
      <c r="AQ26" s="51" t="e">
        <f t="shared" si="82"/>
        <v>#NUM!</v>
      </c>
      <c r="AR26" s="63" t="e">
        <f t="shared" si="83"/>
        <v>#NUM!</v>
      </c>
      <c r="AS26" s="32" t="str">
        <f t="shared" si="58"/>
        <v>-0.000170731707317073</v>
      </c>
      <c r="AT26" s="32" t="str">
        <f t="shared" si="59"/>
        <v>2.87053908775443E-06i</v>
      </c>
      <c r="AU26" s="32">
        <f t="shared" si="84"/>
        <v>2.8705390877544301E-6</v>
      </c>
      <c r="AV26" s="32">
        <f t="shared" si="85"/>
        <v>1.5707963267948966</v>
      </c>
      <c r="AW26" s="32" t="str">
        <f t="shared" si="60"/>
        <v>1+0.000611162421841565i</v>
      </c>
      <c r="AX26" s="32">
        <f t="shared" si="86"/>
        <v>1.0000001867597355</v>
      </c>
      <c r="AY26" s="32">
        <f t="shared" si="87"/>
        <v>6.1116234574788676E-4</v>
      </c>
      <c r="AZ26" s="32" t="str">
        <f t="shared" si="61"/>
        <v>1+0.0116120860149898i</v>
      </c>
      <c r="BA26" s="32">
        <f t="shared" si="88"/>
        <v>1.0000674179982165</v>
      </c>
      <c r="BB26" s="32">
        <f t="shared" si="89"/>
        <v>1.1611564130555993E-2</v>
      </c>
      <c r="BC26" s="60" t="str">
        <f t="shared" si="90"/>
        <v>-0.654304194493886+59.4776277160603i</v>
      </c>
      <c r="BD26" s="51">
        <f t="shared" si="91"/>
        <v>35.487598309771123</v>
      </c>
      <c r="BE26" s="63">
        <f t="shared" si="92"/>
        <v>90.63027659521768</v>
      </c>
      <c r="BF26" s="60" t="str">
        <f t="shared" si="93"/>
        <v>24.6405054128073+1385.33733601539i</v>
      </c>
      <c r="BG26" s="66">
        <f t="shared" si="94"/>
        <v>62.832484517200122</v>
      </c>
      <c r="BH26" s="63">
        <f t="shared" si="95"/>
        <v>88.981007675295643</v>
      </c>
      <c r="BI26" s="60" t="e">
        <f t="shared" si="96"/>
        <v>#NUM!</v>
      </c>
      <c r="BJ26" s="66" t="e">
        <f t="shared" si="97"/>
        <v>#NUM!</v>
      </c>
      <c r="BK26" s="63" t="e">
        <f t="shared" si="98"/>
        <v>#NUM!</v>
      </c>
      <c r="BL26" s="51">
        <f t="shared" si="99"/>
        <v>62.832484517200122</v>
      </c>
      <c r="BM26" s="63">
        <f t="shared" si="100"/>
        <v>88.981007675295643</v>
      </c>
    </row>
    <row r="27" spans="1:65" s="32" customFormat="1" x14ac:dyDescent="0.3">
      <c r="A27" t="s">
        <v>118</v>
      </c>
      <c r="B27" s="22">
        <f>Rsl_int</f>
        <v>1333</v>
      </c>
      <c r="C27" s="2" t="s">
        <v>36</v>
      </c>
      <c r="D27"/>
      <c r="E27" t="s">
        <v>173</v>
      </c>
      <c r="F27"/>
      <c r="G27"/>
      <c r="K27"/>
      <c r="N27" s="11">
        <v>9</v>
      </c>
      <c r="O27" s="52">
        <f t="shared" si="62"/>
        <v>12.302687708123818</v>
      </c>
      <c r="P27" s="50" t="str">
        <f t="shared" si="50"/>
        <v>23.3035714285714</v>
      </c>
      <c r="Q27" s="18" t="str">
        <f t="shared" si="51"/>
        <v>1+0.029318810992352i</v>
      </c>
      <c r="R27" s="18">
        <f t="shared" si="63"/>
        <v>1.0004297040162318</v>
      </c>
      <c r="S27" s="18">
        <f t="shared" si="64"/>
        <v>2.9310414577339267E-2</v>
      </c>
      <c r="T27" s="18" t="str">
        <f t="shared" si="52"/>
        <v>1+0.00013682111796431i</v>
      </c>
      <c r="U27" s="18">
        <f t="shared" si="65"/>
        <v>1.0000000093600092</v>
      </c>
      <c r="V27" s="18">
        <f t="shared" si="66"/>
        <v>1.3682111711054541E-4</v>
      </c>
      <c r="W27" s="32" t="str">
        <f t="shared" si="53"/>
        <v>1-0.000188955718469228i</v>
      </c>
      <c r="X27" s="18">
        <f t="shared" si="67"/>
        <v>1.0000000178521316</v>
      </c>
      <c r="Y27" s="18">
        <f t="shared" si="68"/>
        <v>-1.8895571622038645E-4</v>
      </c>
      <c r="Z27" s="32" t="str">
        <f t="shared" si="54"/>
        <v>0.999999999394576+0.0000927388224574752i</v>
      </c>
      <c r="AA27" s="18">
        <f t="shared" si="69"/>
        <v>1.0000000036948204</v>
      </c>
      <c r="AB27" s="18">
        <f t="shared" si="70"/>
        <v>9.2738822247755105E-5</v>
      </c>
      <c r="AC27" s="68" t="str">
        <f t="shared" si="71"/>
        <v>23.2834584593422-0.686019386008028i</v>
      </c>
      <c r="AD27" s="66">
        <f t="shared" si="72"/>
        <v>27.344718337644544</v>
      </c>
      <c r="AE27" s="63">
        <f t="shared" si="73"/>
        <v>-1.6876636866676757</v>
      </c>
      <c r="AF27" s="51" t="e">
        <f t="shared" si="74"/>
        <v>#NUM!</v>
      </c>
      <c r="AG27" s="51" t="str">
        <f t="shared" si="55"/>
        <v>1-0.0410463353892929i</v>
      </c>
      <c r="AH27" s="51">
        <f t="shared" si="75"/>
        <v>1.0008420463034566</v>
      </c>
      <c r="AI27" s="51">
        <f t="shared" si="76"/>
        <v>-4.1023307019241E-2</v>
      </c>
      <c r="AJ27" s="51" t="str">
        <f t="shared" si="56"/>
        <v>1+0.00013682111796431i</v>
      </c>
      <c r="AK27" s="51">
        <f t="shared" si="77"/>
        <v>1.0000000093600092</v>
      </c>
      <c r="AL27" s="51">
        <f t="shared" si="78"/>
        <v>1.3682111711054541E-4</v>
      </c>
      <c r="AM27" s="51" t="e">
        <f t="shared" si="57"/>
        <v>#NUM!</v>
      </c>
      <c r="AN27" s="51" t="e">
        <f t="shared" si="79"/>
        <v>#NUM!</v>
      </c>
      <c r="AO27" s="51" t="e">
        <f t="shared" si="80"/>
        <v>#NUM!</v>
      </c>
      <c r="AP27" s="60" t="e">
        <f t="shared" si="81"/>
        <v>#NUM!</v>
      </c>
      <c r="AQ27" s="51" t="e">
        <f t="shared" si="82"/>
        <v>#NUM!</v>
      </c>
      <c r="AR27" s="63" t="e">
        <f t="shared" si="83"/>
        <v>#NUM!</v>
      </c>
      <c r="AS27" s="32" t="str">
        <f t="shared" si="58"/>
        <v>-0.000170731707317073</v>
      </c>
      <c r="AT27" s="32" t="str">
        <f t="shared" si="59"/>
        <v>2.93740253256709E-06i</v>
      </c>
      <c r="AU27" s="32">
        <f t="shared" si="84"/>
        <v>2.9374025325670902E-6</v>
      </c>
      <c r="AV27" s="32">
        <f t="shared" si="85"/>
        <v>1.5707963267948966</v>
      </c>
      <c r="AW27" s="32" t="str">
        <f t="shared" si="60"/>
        <v>1+0.000625398223415808i</v>
      </c>
      <c r="AX27" s="32">
        <f t="shared" si="86"/>
        <v>1.0000001955614497</v>
      </c>
      <c r="AY27" s="32">
        <f t="shared" si="87"/>
        <v>6.2539814187996361E-4</v>
      </c>
      <c r="AZ27" s="32" t="str">
        <f t="shared" si="61"/>
        <v>1+0.0118825662449004i</v>
      </c>
      <c r="BA27" s="32">
        <f t="shared" si="88"/>
        <v>1.0000705951984412</v>
      </c>
      <c r="BB27" s="32">
        <f t="shared" si="89"/>
        <v>1.1882007037786435E-2</v>
      </c>
      <c r="BC27" s="60" t="str">
        <f t="shared" si="90"/>
        <v>-0.654304182975893+58.1237700353444i</v>
      </c>
      <c r="BD27" s="51">
        <f t="shared" si="91"/>
        <v>35.287625828226709</v>
      </c>
      <c r="BE27" s="63">
        <f t="shared" si="92"/>
        <v>90.644956181364861</v>
      </c>
      <c r="BF27" s="60" t="str">
        <f t="shared" si="93"/>
        <v>24.6395687680257+1353.77125047217i</v>
      </c>
      <c r="BG27" s="66">
        <f t="shared" si="94"/>
        <v>62.63234416587126</v>
      </c>
      <c r="BH27" s="63">
        <f t="shared" si="95"/>
        <v>88.957292494697199</v>
      </c>
      <c r="BI27" s="60" t="e">
        <f t="shared" si="96"/>
        <v>#NUM!</v>
      </c>
      <c r="BJ27" s="66" t="e">
        <f t="shared" si="97"/>
        <v>#NUM!</v>
      </c>
      <c r="BK27" s="63" t="e">
        <f t="shared" si="98"/>
        <v>#NUM!</v>
      </c>
      <c r="BL27" s="51">
        <f t="shared" si="99"/>
        <v>62.63234416587126</v>
      </c>
      <c r="BM27" s="63">
        <f t="shared" si="100"/>
        <v>88.957292494697199</v>
      </c>
    </row>
    <row r="28" spans="1:65" x14ac:dyDescent="0.3">
      <c r="A28" t="s">
        <v>116</v>
      </c>
      <c r="B28" s="22">
        <f>Isl</f>
        <v>2.9999999999999997E-5</v>
      </c>
      <c r="C28" s="2" t="s">
        <v>11</v>
      </c>
      <c r="E28" t="s">
        <v>174</v>
      </c>
      <c r="K28" s="32"/>
      <c r="N28" s="11">
        <v>10</v>
      </c>
      <c r="O28" s="52">
        <f t="shared" si="62"/>
        <v>12.58925411794168</v>
      </c>
      <c r="P28" s="50" t="str">
        <f t="shared" si="50"/>
        <v>23.3035714285714</v>
      </c>
      <c r="Q28" s="18" t="str">
        <f t="shared" si="51"/>
        <v>1+0.0300017338304778i</v>
      </c>
      <c r="R28" s="18">
        <f t="shared" si="63"/>
        <v>1.0004499507885614</v>
      </c>
      <c r="S28" s="18">
        <f t="shared" si="64"/>
        <v>2.9992737128221387E-2</v>
      </c>
      <c r="T28" s="18" t="str">
        <f t="shared" si="52"/>
        <v>1+0.000140008091208896i</v>
      </c>
      <c r="U28" s="18">
        <f t="shared" si="65"/>
        <v>1.0000000098011328</v>
      </c>
      <c r="V28" s="18">
        <f t="shared" si="66"/>
        <v>1.4000809029407073E-4</v>
      </c>
      <c r="W28" s="32" t="str">
        <f t="shared" si="53"/>
        <v>1-0.000193357062560937i</v>
      </c>
      <c r="X28" s="18">
        <f t="shared" si="67"/>
        <v>1.0000000186934765</v>
      </c>
      <c r="Y28" s="18">
        <f t="shared" si="68"/>
        <v>-1.9335706015125988E-4</v>
      </c>
      <c r="Z28" s="32" t="str">
        <f t="shared" si="54"/>
        <v>0.999999999366043+0.0000948989871331034i</v>
      </c>
      <c r="AA28" s="18">
        <f t="shared" si="69"/>
        <v>1.0000000038689518</v>
      </c>
      <c r="AB28" s="18">
        <f t="shared" si="70"/>
        <v>9.4898986908384291E-5</v>
      </c>
      <c r="AC28" s="68" t="str">
        <f t="shared" si="71"/>
        <v>23.2825114167423-0.70197041735221i</v>
      </c>
      <c r="AD28" s="66">
        <f t="shared" si="72"/>
        <v>27.34454256335605</v>
      </c>
      <c r="AE28" s="63">
        <f t="shared" si="73"/>
        <v>-1.7269512357365169</v>
      </c>
      <c r="AF28" s="51" t="e">
        <f t="shared" si="74"/>
        <v>#NUM!</v>
      </c>
      <c r="AG28" s="51" t="str">
        <f t="shared" si="55"/>
        <v>1-0.042002427362669i</v>
      </c>
      <c r="AH28" s="51">
        <f t="shared" si="75"/>
        <v>1.0008817132430567</v>
      </c>
      <c r="AI28" s="51">
        <f t="shared" si="76"/>
        <v>-4.1977753193451893E-2</v>
      </c>
      <c r="AJ28" s="51" t="str">
        <f t="shared" si="56"/>
        <v>1+0.000140008091208896i</v>
      </c>
      <c r="AK28" s="51">
        <f t="shared" si="77"/>
        <v>1.0000000098011328</v>
      </c>
      <c r="AL28" s="51">
        <f t="shared" si="78"/>
        <v>1.4000809029407073E-4</v>
      </c>
      <c r="AM28" s="51" t="e">
        <f t="shared" si="57"/>
        <v>#NUM!</v>
      </c>
      <c r="AN28" s="51" t="e">
        <f t="shared" si="79"/>
        <v>#NUM!</v>
      </c>
      <c r="AO28" s="51" t="e">
        <f t="shared" si="80"/>
        <v>#NUM!</v>
      </c>
      <c r="AP28" s="60" t="e">
        <f t="shared" si="81"/>
        <v>#NUM!</v>
      </c>
      <c r="AQ28" s="51" t="e">
        <f t="shared" si="82"/>
        <v>#NUM!</v>
      </c>
      <c r="AR28" s="63" t="e">
        <f t="shared" si="83"/>
        <v>#NUM!</v>
      </c>
      <c r="AS28" s="32" t="str">
        <f t="shared" si="58"/>
        <v>-0.000170731707317073</v>
      </c>
      <c r="AT28" s="32" t="str">
        <f t="shared" si="59"/>
        <v>3.00582342708365E-06i</v>
      </c>
      <c r="AU28" s="32">
        <f t="shared" si="84"/>
        <v>3.0058234270836501E-6</v>
      </c>
      <c r="AV28" s="32">
        <f t="shared" si="85"/>
        <v>1.5707963267948966</v>
      </c>
      <c r="AW28" s="32" t="str">
        <f t="shared" si="60"/>
        <v>1+0.00063996561940623i</v>
      </c>
      <c r="AX28" s="32">
        <f t="shared" si="86"/>
        <v>1.0000002047779761</v>
      </c>
      <c r="AY28" s="32">
        <f t="shared" si="87"/>
        <v>6.3996553203899971E-4</v>
      </c>
      <c r="AZ28" s="32" t="str">
        <f t="shared" si="61"/>
        <v>1+0.0121593467687184i</v>
      </c>
      <c r="BA28" s="32">
        <f t="shared" si="88"/>
        <v>1.0000739221246806</v>
      </c>
      <c r="BB28" s="32">
        <f t="shared" si="89"/>
        <v>1.215874756989224E-2</v>
      </c>
      <c r="BC28" s="60" t="str">
        <f t="shared" si="90"/>
        <v>-0.654304170915069+56.8007303468595i</v>
      </c>
      <c r="BD28" s="51">
        <f t="shared" si="91"/>
        <v>35.087654643399219</v>
      </c>
      <c r="BE28" s="63">
        <f t="shared" si="92"/>
        <v>90.659977595900088</v>
      </c>
      <c r="BF28" s="60" t="str">
        <f t="shared" si="93"/>
        <v>24.6385880581431+1322.92295495199i</v>
      </c>
      <c r="BG28" s="66">
        <f t="shared" si="94"/>
        <v>62.432197206755262</v>
      </c>
      <c r="BH28" s="63">
        <f t="shared" si="95"/>
        <v>88.933026360163581</v>
      </c>
      <c r="BI28" s="60" t="e">
        <f t="shared" si="96"/>
        <v>#NUM!</v>
      </c>
      <c r="BJ28" s="66" t="e">
        <f t="shared" si="97"/>
        <v>#NUM!</v>
      </c>
      <c r="BK28" s="63" t="e">
        <f t="shared" si="98"/>
        <v>#NUM!</v>
      </c>
      <c r="BL28" s="51">
        <f t="shared" si="99"/>
        <v>62.432197206755262</v>
      </c>
      <c r="BM28" s="63">
        <f t="shared" si="100"/>
        <v>88.933026360163581</v>
      </c>
    </row>
    <row r="29" spans="1:65" x14ac:dyDescent="0.3">
      <c r="A29" s="32"/>
      <c r="B29" s="27"/>
      <c r="C29" s="2"/>
      <c r="D29" s="32"/>
      <c r="E29" s="32"/>
      <c r="F29" s="32"/>
      <c r="G29" s="32"/>
      <c r="N29" s="11">
        <v>11</v>
      </c>
      <c r="O29" s="52">
        <f t="shared" si="62"/>
        <v>12.882495516931346</v>
      </c>
      <c r="P29" s="50" t="str">
        <f t="shared" si="50"/>
        <v>23.3035714285714</v>
      </c>
      <c r="Q29" s="18" t="str">
        <f t="shared" si="51"/>
        <v>1+0.0307005639850003i</v>
      </c>
      <c r="R29" s="18">
        <f t="shared" si="63"/>
        <v>1.000471151322714</v>
      </c>
      <c r="S29" s="18">
        <f t="shared" si="64"/>
        <v>3.0690924090023105E-2</v>
      </c>
      <c r="T29" s="18" t="str">
        <f t="shared" si="52"/>
        <v>1+0.000143269298596668i</v>
      </c>
      <c r="U29" s="18">
        <f t="shared" si="65"/>
        <v>1.000000010263046</v>
      </c>
      <c r="V29" s="18">
        <f t="shared" si="66"/>
        <v>1.4326929761641509E-4</v>
      </c>
      <c r="W29" s="32" t="str">
        <f t="shared" si="53"/>
        <v>1-0.000197860927126598i</v>
      </c>
      <c r="X29" s="18">
        <f t="shared" si="67"/>
        <v>1.0000000195744732</v>
      </c>
      <c r="Y29" s="18">
        <f t="shared" si="68"/>
        <v>-1.9786092454458245E-4</v>
      </c>
      <c r="Z29" s="32" t="str">
        <f t="shared" si="54"/>
        <v>0.999999999336165+0.0000971094685078461i</v>
      </c>
      <c r="AA29" s="18">
        <f t="shared" si="69"/>
        <v>1.0000000040512893</v>
      </c>
      <c r="AB29" s="18">
        <f t="shared" si="70"/>
        <v>9.7109468267055294E-5</v>
      </c>
      <c r="AC29" s="68" t="str">
        <f t="shared" si="71"/>
        <v>23.2815198235638-0.718290966396646i</v>
      </c>
      <c r="AD29" s="66">
        <f t="shared" si="72"/>
        <v>27.34435851270608</v>
      </c>
      <c r="AE29" s="63">
        <f t="shared" si="73"/>
        <v>-1.7671522522169056</v>
      </c>
      <c r="AF29" s="51" t="e">
        <f t="shared" si="74"/>
        <v>#NUM!</v>
      </c>
      <c r="AG29" s="51" t="str">
        <f t="shared" si="55"/>
        <v>1-0.0429807895790005i</v>
      </c>
      <c r="AH29" s="51">
        <f t="shared" si="75"/>
        <v>1.000923247943035</v>
      </c>
      <c r="AI29" s="51">
        <f t="shared" si="76"/>
        <v>-4.2954352047285455E-2</v>
      </c>
      <c r="AJ29" s="51" t="str">
        <f t="shared" si="56"/>
        <v>1+0.000143269298596668i</v>
      </c>
      <c r="AK29" s="51">
        <f t="shared" si="77"/>
        <v>1.000000010263046</v>
      </c>
      <c r="AL29" s="51">
        <f t="shared" si="78"/>
        <v>1.4326929761641509E-4</v>
      </c>
      <c r="AM29" s="51" t="e">
        <f t="shared" si="57"/>
        <v>#NUM!</v>
      </c>
      <c r="AN29" s="51" t="e">
        <f t="shared" si="79"/>
        <v>#NUM!</v>
      </c>
      <c r="AO29" s="51" t="e">
        <f t="shared" si="80"/>
        <v>#NUM!</v>
      </c>
      <c r="AP29" s="60" t="e">
        <f t="shared" si="81"/>
        <v>#NUM!</v>
      </c>
      <c r="AQ29" s="51" t="e">
        <f t="shared" si="82"/>
        <v>#NUM!</v>
      </c>
      <c r="AR29" s="63" t="e">
        <f t="shared" si="83"/>
        <v>#NUM!</v>
      </c>
      <c r="AS29" s="32" t="str">
        <f t="shared" si="58"/>
        <v>-0.000170731707317073</v>
      </c>
      <c r="AT29" s="32" t="str">
        <f t="shared" si="59"/>
        <v>3.07583804896802E-06i</v>
      </c>
      <c r="AU29" s="32">
        <f t="shared" si="84"/>
        <v>3.07583804896802E-6</v>
      </c>
      <c r="AV29" s="32">
        <f t="shared" si="85"/>
        <v>1.5707963267948966</v>
      </c>
      <c r="AW29" s="32" t="str">
        <f t="shared" si="60"/>
        <v>1+0.000654872333639007i</v>
      </c>
      <c r="AX29" s="32">
        <f t="shared" si="86"/>
        <v>1.0000002144288636</v>
      </c>
      <c r="AY29" s="32">
        <f t="shared" si="87"/>
        <v>6.5487224002333414E-4</v>
      </c>
      <c r="AZ29" s="32" t="str">
        <f t="shared" si="61"/>
        <v>1+0.0124425743391411i</v>
      </c>
      <c r="BA29" s="32">
        <f t="shared" si="88"/>
        <v>1.000077405832261</v>
      </c>
      <c r="BB29" s="32">
        <f t="shared" si="89"/>
        <v>1.2441932288715126E-2</v>
      </c>
      <c r="BC29" s="60" t="str">
        <f t="shared" si="90"/>
        <v>-0.654304158285836+55.5078071574502i</v>
      </c>
      <c r="BD29" s="51">
        <f t="shared" si="91"/>
        <v>34.887684816382887</v>
      </c>
      <c r="BE29" s="63">
        <f t="shared" si="92"/>
        <v>90.675348793657307</v>
      </c>
      <c r="BF29" s="60" t="str">
        <f t="shared" si="93"/>
        <v>24.6375612139117+1292.77609346491i</v>
      </c>
      <c r="BG29" s="66">
        <f t="shared" si="94"/>
        <v>62.232043329088995</v>
      </c>
      <c r="BH29" s="63">
        <f t="shared" si="95"/>
        <v>88.908196541440418</v>
      </c>
      <c r="BI29" s="60" t="e">
        <f t="shared" si="96"/>
        <v>#NUM!</v>
      </c>
      <c r="BJ29" s="66" t="e">
        <f t="shared" si="97"/>
        <v>#NUM!</v>
      </c>
      <c r="BK29" s="63" t="e">
        <f t="shared" si="98"/>
        <v>#NUM!</v>
      </c>
      <c r="BL29" s="51">
        <f t="shared" si="99"/>
        <v>62.232043329088995</v>
      </c>
      <c r="BM29" s="63">
        <f t="shared" si="100"/>
        <v>88.908196541440418</v>
      </c>
    </row>
    <row r="30" spans="1:65" x14ac:dyDescent="0.3">
      <c r="A30" s="32" t="s">
        <v>198</v>
      </c>
      <c r="B30" s="22">
        <f>Gcomp</f>
        <v>0.14499999999999999</v>
      </c>
      <c r="C30" s="2"/>
      <c r="D30" s="32"/>
      <c r="E30" s="32" t="s">
        <v>199</v>
      </c>
      <c r="F30" s="32"/>
      <c r="G30" s="32"/>
      <c r="N30" s="11">
        <v>12</v>
      </c>
      <c r="O30" s="52">
        <f t="shared" si="62"/>
        <v>13.182567385564075</v>
      </c>
      <c r="P30" s="50" t="str">
        <f t="shared" si="50"/>
        <v>23.3035714285714</v>
      </c>
      <c r="Q30" s="18" t="str">
        <f t="shared" si="51"/>
        <v>1+0.0314156719849177i</v>
      </c>
      <c r="R30" s="18">
        <f t="shared" si="63"/>
        <v>1.0004933505257614</v>
      </c>
      <c r="S30" s="18">
        <f t="shared" si="64"/>
        <v>3.1405342926421907E-2</v>
      </c>
      <c r="T30" s="18" t="str">
        <f t="shared" si="52"/>
        <v>1+0.000146606469262949i</v>
      </c>
      <c r="U30" s="18">
        <f t="shared" si="65"/>
        <v>1.0000000107467284</v>
      </c>
      <c r="V30" s="18">
        <f t="shared" si="66"/>
        <v>1.4660646821258909E-4</v>
      </c>
      <c r="W30" s="32" t="str">
        <f t="shared" si="53"/>
        <v>1-0.00020246970017482i</v>
      </c>
      <c r="X30" s="18">
        <f t="shared" si="67"/>
        <v>1.0000000204969897</v>
      </c>
      <c r="Y30" s="18">
        <f t="shared" si="68"/>
        <v>-2.0246969740814048E-4</v>
      </c>
      <c r="Z30" s="32" t="str">
        <f t="shared" si="54"/>
        <v>0.99999999930488+0.0000993714386081875i</v>
      </c>
      <c r="AA30" s="18">
        <f t="shared" si="69"/>
        <v>1.0000000042422215</v>
      </c>
      <c r="AB30" s="18">
        <f t="shared" si="70"/>
        <v>9.9371438350175434E-5</v>
      </c>
      <c r="AC30" s="68" t="str">
        <f t="shared" si="71"/>
        <v>23.2804815881183-0.73498949546973i</v>
      </c>
      <c r="AD30" s="66">
        <f t="shared" si="72"/>
        <v>27.344165796376771</v>
      </c>
      <c r="AE30" s="63">
        <f t="shared" si="73"/>
        <v>-1.8082878951294905</v>
      </c>
      <c r="AF30" s="51" t="e">
        <f t="shared" si="74"/>
        <v>#NUM!</v>
      </c>
      <c r="AG30" s="51" t="str">
        <f t="shared" si="55"/>
        <v>1-0.0439819407788849i</v>
      </c>
      <c r="AH30" s="51">
        <f t="shared" si="75"/>
        <v>1.0009667382659013</v>
      </c>
      <c r="AI30" s="51">
        <f t="shared" si="76"/>
        <v>-4.3953613930723043E-2</v>
      </c>
      <c r="AJ30" s="51" t="str">
        <f t="shared" si="56"/>
        <v>1+0.000146606469262949i</v>
      </c>
      <c r="AK30" s="51">
        <f t="shared" si="77"/>
        <v>1.0000000107467284</v>
      </c>
      <c r="AL30" s="51">
        <f t="shared" si="78"/>
        <v>1.4660646821258909E-4</v>
      </c>
      <c r="AM30" s="51" t="e">
        <f t="shared" si="57"/>
        <v>#NUM!</v>
      </c>
      <c r="AN30" s="51" t="e">
        <f t="shared" si="79"/>
        <v>#NUM!</v>
      </c>
      <c r="AO30" s="51" t="e">
        <f t="shared" si="80"/>
        <v>#NUM!</v>
      </c>
      <c r="AP30" s="60" t="e">
        <f t="shared" si="81"/>
        <v>#NUM!</v>
      </c>
      <c r="AQ30" s="51" t="e">
        <f t="shared" si="82"/>
        <v>#NUM!</v>
      </c>
      <c r="AR30" s="63" t="e">
        <f t="shared" si="83"/>
        <v>#NUM!</v>
      </c>
      <c r="AS30" s="32" t="str">
        <f t="shared" si="58"/>
        <v>-0.000170731707317073</v>
      </c>
      <c r="AT30" s="32" t="str">
        <f t="shared" si="59"/>
        <v>3.14748352089948E-06i</v>
      </c>
      <c r="AU30" s="32">
        <f t="shared" si="84"/>
        <v>3.1474835208994798E-6</v>
      </c>
      <c r="AV30" s="32">
        <f t="shared" si="85"/>
        <v>1.5707963267948966</v>
      </c>
      <c r="AW30" s="32" t="str">
        <f t="shared" si="60"/>
        <v>1+0.000670126269851339i</v>
      </c>
      <c r="AX30" s="32">
        <f t="shared" si="86"/>
        <v>1.0000002245345836</v>
      </c>
      <c r="AY30" s="32">
        <f t="shared" si="87"/>
        <v>6.701261695403395E-4</v>
      </c>
      <c r="AZ30" s="32" t="str">
        <f t="shared" si="61"/>
        <v>1+0.0127323991271755i</v>
      </c>
      <c r="BA30" s="32">
        <f t="shared" si="88"/>
        <v>1.0000810537089149</v>
      </c>
      <c r="BB30" s="32">
        <f t="shared" si="89"/>
        <v>1.2731711160760521E-2</v>
      </c>
      <c r="BC30" s="60" t="str">
        <f t="shared" si="90"/>
        <v>-0.654304145061414+54.244314942128i</v>
      </c>
      <c r="BD30" s="51">
        <f t="shared" si="91"/>
        <v>34.687716411149594</v>
      </c>
      <c r="BE30" s="63">
        <f t="shared" si="92"/>
        <v>90.691077914235251</v>
      </c>
      <c r="BF30" s="60" t="str">
        <f t="shared" si="93"/>
        <v>24.6364860692841+1263.31468194376i</v>
      </c>
      <c r="BG30" s="66">
        <f t="shared" si="94"/>
        <v>62.031882207526337</v>
      </c>
      <c r="BH30" s="63">
        <f t="shared" si="95"/>
        <v>88.882790019105769</v>
      </c>
      <c r="BI30" s="60" t="e">
        <f t="shared" si="96"/>
        <v>#NUM!</v>
      </c>
      <c r="BJ30" s="66" t="e">
        <f t="shared" si="97"/>
        <v>#NUM!</v>
      </c>
      <c r="BK30" s="63" t="e">
        <f t="shared" si="98"/>
        <v>#NUM!</v>
      </c>
      <c r="BL30" s="51">
        <f t="shared" si="99"/>
        <v>62.031882207526337</v>
      </c>
      <c r="BM30" s="63">
        <f t="shared" si="100"/>
        <v>88.882790019105769</v>
      </c>
    </row>
    <row r="31" spans="1:65" x14ac:dyDescent="0.3">
      <c r="A31" t="s">
        <v>504</v>
      </c>
      <c r="B31">
        <v>1</v>
      </c>
      <c r="E31" t="s">
        <v>583</v>
      </c>
      <c r="N31" s="11">
        <v>13</v>
      </c>
      <c r="O31" s="52">
        <f t="shared" si="62"/>
        <v>13.489628825916535</v>
      </c>
      <c r="P31" s="50" t="str">
        <f t="shared" si="50"/>
        <v>23.3035714285714</v>
      </c>
      <c r="Q31" s="18" t="str">
        <f t="shared" si="51"/>
        <v>1+0.0321474369899571i</v>
      </c>
      <c r="R31" s="18">
        <f t="shared" si="63"/>
        <v>1.0005165954170991</v>
      </c>
      <c r="S31" s="18">
        <f t="shared" si="64"/>
        <v>3.2136369512990579E-2</v>
      </c>
      <c r="T31" s="18" t="str">
        <f t="shared" si="52"/>
        <v>1+0.0001500213726198i</v>
      </c>
      <c r="U31" s="18">
        <f t="shared" si="65"/>
        <v>1.0000000112532061</v>
      </c>
      <c r="V31" s="18">
        <f t="shared" si="66"/>
        <v>1.5002137149431905E-4</v>
      </c>
      <c r="W31" s="32" t="str">
        <f t="shared" si="53"/>
        <v>1-0.000207185825338079i</v>
      </c>
      <c r="X31" s="18">
        <f t="shared" si="67"/>
        <v>1.0000000214629827</v>
      </c>
      <c r="Y31" s="18">
        <f t="shared" si="68"/>
        <v>-2.0718582237352849E-4</v>
      </c>
      <c r="Z31" s="32" t="str">
        <f t="shared" si="54"/>
        <v>0.99999999927212+0.000101686096760615i</v>
      </c>
      <c r="AA31" s="18">
        <f t="shared" si="69"/>
        <v>1.0000000044421511</v>
      </c>
      <c r="AB31" s="18">
        <f t="shared" si="70"/>
        <v>1.0168609648415008E-4</v>
      </c>
      <c r="AC31" s="68" t="str">
        <f t="shared" si="71"/>
        <v>23.2793945209008-0.752074653691057i</v>
      </c>
      <c r="AD31" s="66">
        <f t="shared" si="72"/>
        <v>27.343964006772925</v>
      </c>
      <c r="AE31" s="63">
        <f t="shared" si="73"/>
        <v>-1.8503798079045128</v>
      </c>
      <c r="AF31" s="51" t="e">
        <f t="shared" si="74"/>
        <v>#NUM!</v>
      </c>
      <c r="AG31" s="51" t="str">
        <f t="shared" si="55"/>
        <v>1-0.0450064117859401i</v>
      </c>
      <c r="AH31" s="51">
        <f t="shared" si="75"/>
        <v>1.0010122761993709</v>
      </c>
      <c r="AI31" s="51">
        <f t="shared" si="76"/>
        <v>-4.4976060678797739E-2</v>
      </c>
      <c r="AJ31" s="51" t="str">
        <f t="shared" si="56"/>
        <v>1+0.0001500213726198i</v>
      </c>
      <c r="AK31" s="51">
        <f t="shared" si="77"/>
        <v>1.0000000112532061</v>
      </c>
      <c r="AL31" s="51">
        <f t="shared" si="78"/>
        <v>1.5002137149431905E-4</v>
      </c>
      <c r="AM31" s="51" t="e">
        <f t="shared" si="57"/>
        <v>#NUM!</v>
      </c>
      <c r="AN31" s="51" t="e">
        <f t="shared" si="79"/>
        <v>#NUM!</v>
      </c>
      <c r="AO31" s="51" t="e">
        <f t="shared" si="80"/>
        <v>#NUM!</v>
      </c>
      <c r="AP31" s="60" t="e">
        <f t="shared" si="81"/>
        <v>#NUM!</v>
      </c>
      <c r="AQ31" s="51" t="e">
        <f t="shared" si="82"/>
        <v>#NUM!</v>
      </c>
      <c r="AR31" s="63" t="e">
        <f t="shared" si="83"/>
        <v>#NUM!</v>
      </c>
      <c r="AS31" s="32" t="str">
        <f t="shared" si="58"/>
        <v>-0.000170731707317073</v>
      </c>
      <c r="AT31" s="32" t="str">
        <f t="shared" si="59"/>
        <v>3.22079783025559E-06i</v>
      </c>
      <c r="AU31" s="32">
        <f t="shared" si="84"/>
        <v>3.2207978302555902E-6</v>
      </c>
      <c r="AV31" s="32">
        <f t="shared" si="85"/>
        <v>1.5707963267948966</v>
      </c>
      <c r="AW31" s="32" t="str">
        <f t="shared" si="60"/>
        <v>1+0.000685735515882117i</v>
      </c>
      <c r="AX31" s="32">
        <f t="shared" si="86"/>
        <v>1.0000002351165713</v>
      </c>
      <c r="AY31" s="32">
        <f t="shared" si="87"/>
        <v>6.8573540839694585E-4</v>
      </c>
      <c r="AZ31" s="32" t="str">
        <f t="shared" si="61"/>
        <v>1+0.0130289748017603i</v>
      </c>
      <c r="BA31" s="32">
        <f t="shared" si="88"/>
        <v>1.0000848734904377</v>
      </c>
      <c r="BB31" s="32">
        <f t="shared" si="89"/>
        <v>1.3028237635844094E-2</v>
      </c>
      <c r="BC31" s="60" t="str">
        <f t="shared" si="90"/>
        <v>-0.654304131213743+53.0095837805955i</v>
      </c>
      <c r="BD31" s="51">
        <f t="shared" si="91"/>
        <v>34.487749494684032</v>
      </c>
      <c r="BE31" s="63">
        <f t="shared" si="92"/>
        <v>90.707173286263526</v>
      </c>
      <c r="BF31" s="60" t="str">
        <f t="shared" si="93"/>
        <v>24.6353603569185+1234.52309977012i</v>
      </c>
      <c r="BG31" s="66">
        <f t="shared" si="94"/>
        <v>61.831713501456974</v>
      </c>
      <c r="BH31" s="63">
        <f t="shared" si="95"/>
        <v>88.856793478359037</v>
      </c>
      <c r="BI31" s="60" t="e">
        <f t="shared" si="96"/>
        <v>#NUM!</v>
      </c>
      <c r="BJ31" s="66" t="e">
        <f t="shared" si="97"/>
        <v>#NUM!</v>
      </c>
      <c r="BK31" s="63" t="e">
        <f t="shared" si="98"/>
        <v>#NUM!</v>
      </c>
      <c r="BL31" s="51">
        <f t="shared" si="99"/>
        <v>61.831713501456974</v>
      </c>
      <c r="BM31" s="63">
        <f t="shared" si="100"/>
        <v>88.856793478359037</v>
      </c>
    </row>
    <row r="32" spans="1:65" ht="15.6" x14ac:dyDescent="0.3">
      <c r="A32" s="53" t="s">
        <v>497</v>
      </c>
      <c r="N32" s="11">
        <v>14</v>
      </c>
      <c r="O32" s="52">
        <f t="shared" si="62"/>
        <v>13.803842646028857</v>
      </c>
      <c r="P32" s="50" t="str">
        <f t="shared" si="50"/>
        <v>23.3035714285714</v>
      </c>
      <c r="Q32" s="18" t="str">
        <f t="shared" si="51"/>
        <v>1+0.0328962469916102i</v>
      </c>
      <c r="R32" s="18">
        <f t="shared" si="63"/>
        <v>1.0005409352276062</v>
      </c>
      <c r="S32" s="18">
        <f t="shared" si="64"/>
        <v>3.288438832263036E-2</v>
      </c>
      <c r="T32" s="18" t="str">
        <f t="shared" si="52"/>
        <v>1+0.000153515819294181i</v>
      </c>
      <c r="U32" s="18">
        <f t="shared" si="65"/>
        <v>1.0000000117835532</v>
      </c>
      <c r="V32" s="18">
        <f t="shared" si="66"/>
        <v>1.5351581808820645E-4</v>
      </c>
      <c r="W32" s="32" t="str">
        <f t="shared" si="53"/>
        <v>1-0.000212011803168361i</v>
      </c>
      <c r="X32" s="18">
        <f t="shared" si="67"/>
        <v>1.000000022474502</v>
      </c>
      <c r="Y32" s="18">
        <f t="shared" si="68"/>
        <v>-2.1201179999178789E-4</v>
      </c>
      <c r="Z32" s="32" t="str">
        <f t="shared" si="54"/>
        <v>0.999999999237816+0.000104054670227521i</v>
      </c>
      <c r="AA32" s="18">
        <f t="shared" si="69"/>
        <v>1.000000004651503</v>
      </c>
      <c r="AB32" s="18">
        <f t="shared" si="70"/>
        <v>1.0405466993128352E-4</v>
      </c>
      <c r="AC32" s="68" t="str">
        <f t="shared" si="71"/>
        <v>23.278256330054-0.769555280588733i</v>
      </c>
      <c r="AD32" s="66">
        <f t="shared" si="72"/>
        <v>27.34375271716786</v>
      </c>
      <c r="AE32" s="63">
        <f t="shared" si="73"/>
        <v>-1.8934501290632466</v>
      </c>
      <c r="AF32" s="51" t="e">
        <f t="shared" si="74"/>
        <v>#NUM!</v>
      </c>
      <c r="AG32" s="51" t="str">
        <f t="shared" si="55"/>
        <v>1-0.0460547457882544i</v>
      </c>
      <c r="AH32" s="51">
        <f t="shared" si="75"/>
        <v>1.0010599580492772</v>
      </c>
      <c r="AI32" s="51">
        <f t="shared" si="76"/>
        <v>-4.6022225850536162E-2</v>
      </c>
      <c r="AJ32" s="51" t="str">
        <f t="shared" si="56"/>
        <v>1+0.000153515819294181i</v>
      </c>
      <c r="AK32" s="51">
        <f t="shared" si="77"/>
        <v>1.0000000117835532</v>
      </c>
      <c r="AL32" s="51">
        <f t="shared" si="78"/>
        <v>1.5351581808820645E-4</v>
      </c>
      <c r="AM32" s="51" t="e">
        <f t="shared" si="57"/>
        <v>#NUM!</v>
      </c>
      <c r="AN32" s="51" t="e">
        <f t="shared" si="79"/>
        <v>#NUM!</v>
      </c>
      <c r="AO32" s="51" t="e">
        <f t="shared" si="80"/>
        <v>#NUM!</v>
      </c>
      <c r="AP32" s="60" t="e">
        <f t="shared" si="81"/>
        <v>#NUM!</v>
      </c>
      <c r="AQ32" s="51" t="e">
        <f t="shared" si="82"/>
        <v>#NUM!</v>
      </c>
      <c r="AR32" s="63" t="e">
        <f t="shared" si="83"/>
        <v>#NUM!</v>
      </c>
      <c r="AS32" s="32" t="str">
        <f t="shared" si="58"/>
        <v>-0.000170731707317073</v>
      </c>
      <c r="AT32" s="32" t="str">
        <f t="shared" si="59"/>
        <v>0.0000032958198492536i</v>
      </c>
      <c r="AU32" s="32">
        <f t="shared" si="84"/>
        <v>3.2958198492536001E-6</v>
      </c>
      <c r="AV32" s="32">
        <f t="shared" si="85"/>
        <v>1.5707963267948966</v>
      </c>
      <c r="AW32" s="32" t="str">
        <f t="shared" si="60"/>
        <v>1+0.000701708347960199i</v>
      </c>
      <c r="AX32" s="32">
        <f t="shared" si="86"/>
        <v>1.0000002461972726</v>
      </c>
      <c r="AY32" s="32">
        <f t="shared" si="87"/>
        <v>7.0170823278776454E-4</v>
      </c>
      <c r="AZ32" s="32" t="str">
        <f t="shared" si="61"/>
        <v>1+0.0133324586112438i</v>
      </c>
      <c r="BA32" s="32">
        <f t="shared" si="88"/>
        <v>1.0000888732770805</v>
      </c>
      <c r="BB32" s="32">
        <f t="shared" si="89"/>
        <v>1.3331668727524455E-2</v>
      </c>
      <c r="BC32" s="60" t="str">
        <f t="shared" si="90"/>
        <v>-0.654304116713448+51.8029590020473i</v>
      </c>
      <c r="BD32" s="51">
        <f t="shared" si="91"/>
        <v>34.28778413712579</v>
      </c>
      <c r="BE32" s="63">
        <f t="shared" si="92"/>
        <v>90.723643431765367</v>
      </c>
      <c r="BF32" s="60" t="str">
        <f t="shared" si="93"/>
        <v>24.6341817034819+1206.38608149306i</v>
      </c>
      <c r="BG32" s="66">
        <f t="shared" si="94"/>
        <v>61.631536854293614</v>
      </c>
      <c r="BH32" s="63">
        <f t="shared" si="95"/>
        <v>88.830193302702128</v>
      </c>
      <c r="BI32" s="60" t="e">
        <f t="shared" si="96"/>
        <v>#NUM!</v>
      </c>
      <c r="BJ32" s="66" t="e">
        <f t="shared" si="97"/>
        <v>#NUM!</v>
      </c>
      <c r="BK32" s="63" t="e">
        <f t="shared" si="98"/>
        <v>#NUM!</v>
      </c>
      <c r="BL32" s="51">
        <f t="shared" si="99"/>
        <v>61.631536854293614</v>
      </c>
      <c r="BM32" s="63">
        <f t="shared" si="100"/>
        <v>88.830193302702128</v>
      </c>
    </row>
    <row r="33" spans="1:65" x14ac:dyDescent="0.3">
      <c r="K33" s="32"/>
      <c r="N33" s="11">
        <v>15</v>
      </c>
      <c r="O33" s="52">
        <f t="shared" si="62"/>
        <v>14.125375446227544</v>
      </c>
      <c r="P33" s="50" t="str">
        <f t="shared" si="50"/>
        <v>23.3035714285714</v>
      </c>
      <c r="Q33" s="18" t="str">
        <f t="shared" si="51"/>
        <v>1+0.0336624990188516i</v>
      </c>
      <c r="R33" s="18">
        <f t="shared" si="63"/>
        <v>1.0005664215034373</v>
      </c>
      <c r="S33" s="18">
        <f t="shared" si="64"/>
        <v>3.3649792614576589E-2</v>
      </c>
      <c r="T33" s="18" t="str">
        <f t="shared" si="52"/>
        <v>1+0.000157091662087974i</v>
      </c>
      <c r="U33" s="18">
        <f t="shared" si="65"/>
        <v>1.000000012338895</v>
      </c>
      <c r="V33" s="18">
        <f t="shared" si="66"/>
        <v>1.57091660795749E-4</v>
      </c>
      <c r="W33" s="32" t="str">
        <f t="shared" si="53"/>
        <v>1-0.00021695019246299i</v>
      </c>
      <c r="X33" s="18">
        <f t="shared" si="67"/>
        <v>1.0000000235336928</v>
      </c>
      <c r="Y33" s="18">
        <f t="shared" si="68"/>
        <v>-2.1695018905923061E-4</v>
      </c>
      <c r="Z33" s="32" t="str">
        <f t="shared" si="54"/>
        <v>0.999999999201895+0.000106478414857907i</v>
      </c>
      <c r="AA33" s="18">
        <f t="shared" si="69"/>
        <v>1.0000000048707212</v>
      </c>
      <c r="AB33" s="18">
        <f t="shared" si="70"/>
        <v>1.0647841454048287E-4</v>
      </c>
      <c r="AC33" s="68" t="str">
        <f t="shared" si="71"/>
        <v>23.2770646166237-0.78744040974898i</v>
      </c>
      <c r="AD33" s="66">
        <f t="shared" si="72"/>
        <v>27.343531480808764</v>
      </c>
      <c r="AE33" s="63">
        <f t="shared" si="73"/>
        <v>-1.9375215031055042</v>
      </c>
      <c r="AF33" s="51" t="e">
        <f t="shared" si="74"/>
        <v>#NUM!</v>
      </c>
      <c r="AG33" s="51" t="str">
        <f t="shared" si="55"/>
        <v>1-0.0471274986263923i</v>
      </c>
      <c r="AH33" s="51">
        <f t="shared" si="75"/>
        <v>1.0011098846414317</v>
      </c>
      <c r="AI33" s="51">
        <f t="shared" si="76"/>
        <v>-4.709265497144733E-2</v>
      </c>
      <c r="AJ33" s="51" t="str">
        <f t="shared" si="56"/>
        <v>1+0.000157091662087974i</v>
      </c>
      <c r="AK33" s="51">
        <f t="shared" si="77"/>
        <v>1.000000012338895</v>
      </c>
      <c r="AL33" s="51">
        <f t="shared" si="78"/>
        <v>1.57091660795749E-4</v>
      </c>
      <c r="AM33" s="51" t="e">
        <f t="shared" si="57"/>
        <v>#NUM!</v>
      </c>
      <c r="AN33" s="51" t="e">
        <f t="shared" si="79"/>
        <v>#NUM!</v>
      </c>
      <c r="AO33" s="51" t="e">
        <f t="shared" si="80"/>
        <v>#NUM!</v>
      </c>
      <c r="AP33" s="60" t="e">
        <f t="shared" si="81"/>
        <v>#NUM!</v>
      </c>
      <c r="AQ33" s="51" t="e">
        <f t="shared" si="82"/>
        <v>#NUM!</v>
      </c>
      <c r="AR33" s="63" t="e">
        <f t="shared" si="83"/>
        <v>#NUM!</v>
      </c>
      <c r="AS33" s="32" t="str">
        <f t="shared" si="58"/>
        <v>-0.000170731707317073</v>
      </c>
      <c r="AT33" s="32" t="str">
        <f t="shared" si="59"/>
        <v>3.37258935556102E-06i</v>
      </c>
      <c r="AU33" s="32">
        <f t="shared" si="84"/>
        <v>3.3725893555610201E-6</v>
      </c>
      <c r="AV33" s="32">
        <f t="shared" si="85"/>
        <v>1.5707963267948966</v>
      </c>
      <c r="AW33" s="32" t="str">
        <f t="shared" si="60"/>
        <v>1+0.000718053235092576i</v>
      </c>
      <c r="AX33" s="32">
        <f t="shared" si="86"/>
        <v>1.000000257800191</v>
      </c>
      <c r="AY33" s="32">
        <f t="shared" si="87"/>
        <v>7.1805311168309091E-4</v>
      </c>
      <c r="AZ33" s="32" t="str">
        <f t="shared" si="61"/>
        <v>1+0.013643011466759i</v>
      </c>
      <c r="BA33" s="32">
        <f t="shared" si="88"/>
        <v>1.0000930615507149</v>
      </c>
      <c r="BB33" s="32">
        <f t="shared" si="89"/>
        <v>1.3642165095358387E-2</v>
      </c>
      <c r="BC33" s="60" t="str">
        <f t="shared" si="90"/>
        <v>-0.654304101529778+50.6238008380544i</v>
      </c>
      <c r="BD33" s="51">
        <f t="shared" si="91"/>
        <v>34.087820411917725</v>
      </c>
      <c r="BE33" s="63">
        <f t="shared" si="92"/>
        <v>90.740497070619043</v>
      </c>
      <c r="BF33" s="60" t="str">
        <f t="shared" si="93"/>
        <v>24.6329476247378+1178.88870873629i</v>
      </c>
      <c r="BG33" s="66">
        <f t="shared" si="94"/>
        <v>61.431351892726489</v>
      </c>
      <c r="BH33" s="63">
        <f t="shared" si="95"/>
        <v>88.802975567513542</v>
      </c>
      <c r="BI33" s="60" t="e">
        <f t="shared" si="96"/>
        <v>#NUM!</v>
      </c>
      <c r="BJ33" s="66" t="e">
        <f t="shared" si="97"/>
        <v>#NUM!</v>
      </c>
      <c r="BK33" s="63" t="e">
        <f t="shared" si="98"/>
        <v>#NUM!</v>
      </c>
      <c r="BL33" s="51">
        <f t="shared" si="99"/>
        <v>61.431351892726489</v>
      </c>
      <c r="BM33" s="63">
        <f t="shared" si="100"/>
        <v>88.802975567513542</v>
      </c>
    </row>
    <row r="34" spans="1:65" x14ac:dyDescent="0.3">
      <c r="A34" t="s">
        <v>197</v>
      </c>
      <c r="B34" s="28">
        <f>(Gcomp*(VOUT/IOUT)*(1-DC_VIN_Var))/(R_cs*Acs*(1+DC_VIN_Var))</f>
        <v>23.303571428571423</v>
      </c>
      <c r="C34" t="s">
        <v>147</v>
      </c>
      <c r="E34" t="s">
        <v>201</v>
      </c>
      <c r="K34" s="32"/>
      <c r="N34" s="11">
        <v>16</v>
      </c>
      <c r="O34" s="52">
        <f t="shared" si="62"/>
        <v>14.454397707459275</v>
      </c>
      <c r="P34" s="50" t="str">
        <f t="shared" si="50"/>
        <v>23.3035714285714</v>
      </c>
      <c r="Q34" s="18" t="str">
        <f t="shared" si="51"/>
        <v>1+0.0344465993486486i</v>
      </c>
      <c r="R34" s="18">
        <f t="shared" si="63"/>
        <v>1.000593108214666</v>
      </c>
      <c r="S34" s="18">
        <f t="shared" si="64"/>
        <v>3.4432984627007279E-2</v>
      </c>
      <c r="T34" s="18" t="str">
        <f t="shared" si="52"/>
        <v>1+0.00016075079696036i</v>
      </c>
      <c r="U34" s="18">
        <f t="shared" si="65"/>
        <v>1.0000000129204094</v>
      </c>
      <c r="V34" s="18">
        <f t="shared" si="66"/>
        <v>1.6075079557571593E-4</v>
      </c>
      <c r="W34" s="32" t="str">
        <f t="shared" si="53"/>
        <v>1-0.000222003611621338i</v>
      </c>
      <c r="X34" s="18">
        <f t="shared" si="67"/>
        <v>1.0000000246428016</v>
      </c>
      <c r="Y34" s="18">
        <f t="shared" si="68"/>
        <v>-2.2200360797414409E-4</v>
      </c>
      <c r="Z34" s="32" t="str">
        <f t="shared" si="54"/>
        <v>0.999999999164282+0.000108958615753259i</v>
      </c>
      <c r="AA34" s="18">
        <f t="shared" si="69"/>
        <v>1.0000000051002718</v>
      </c>
      <c r="AB34" s="18">
        <f t="shared" si="70"/>
        <v>1.0895861541313286E-4</v>
      </c>
      <c r="AC34" s="68" t="str">
        <f t="shared" si="71"/>
        <v>23.2758168696-0.805739272495205i</v>
      </c>
      <c r="AD34" s="66">
        <f t="shared" si="72"/>
        <v>27.343299829981294</v>
      </c>
      <c r="AE34" s="63">
        <f t="shared" si="73"/>
        <v>-1.9826170916048591</v>
      </c>
      <c r="AF34" s="51" t="e">
        <f t="shared" si="74"/>
        <v>#NUM!</v>
      </c>
      <c r="AG34" s="51" t="str">
        <f t="shared" si="55"/>
        <v>1-0.0482252390881081i</v>
      </c>
      <c r="AH34" s="51">
        <f t="shared" si="75"/>
        <v>1.0011621615328383</v>
      </c>
      <c r="AI34" s="51">
        <f t="shared" si="76"/>
        <v>-4.8187905779499128E-2</v>
      </c>
      <c r="AJ34" s="51" t="str">
        <f t="shared" si="56"/>
        <v>1+0.00016075079696036i</v>
      </c>
      <c r="AK34" s="51">
        <f t="shared" si="77"/>
        <v>1.0000000129204094</v>
      </c>
      <c r="AL34" s="51">
        <f t="shared" si="78"/>
        <v>1.6075079557571593E-4</v>
      </c>
      <c r="AM34" s="51" t="e">
        <f t="shared" si="57"/>
        <v>#NUM!</v>
      </c>
      <c r="AN34" s="51" t="e">
        <f t="shared" si="79"/>
        <v>#NUM!</v>
      </c>
      <c r="AO34" s="51" t="e">
        <f t="shared" si="80"/>
        <v>#NUM!</v>
      </c>
      <c r="AP34" s="60" t="e">
        <f t="shared" si="81"/>
        <v>#NUM!</v>
      </c>
      <c r="AQ34" s="51" t="e">
        <f t="shared" si="82"/>
        <v>#NUM!</v>
      </c>
      <c r="AR34" s="63" t="e">
        <f t="shared" si="83"/>
        <v>#NUM!</v>
      </c>
      <c r="AS34" s="32" t="str">
        <f t="shared" si="58"/>
        <v>-0.000170731707317073</v>
      </c>
      <c r="AT34" s="32" t="str">
        <f t="shared" si="59"/>
        <v>3.45114705338626E-06i</v>
      </c>
      <c r="AU34" s="32">
        <f t="shared" si="84"/>
        <v>3.4511470533862599E-6</v>
      </c>
      <c r="AV34" s="32">
        <f t="shared" si="85"/>
        <v>1.5707963267948966</v>
      </c>
      <c r="AW34" s="32" t="str">
        <f t="shared" si="60"/>
        <v>1+0.000734778843554758i</v>
      </c>
      <c r="AX34" s="32">
        <f t="shared" si="86"/>
        <v>1.000000269949938</v>
      </c>
      <c r="AY34" s="32">
        <f t="shared" si="87"/>
        <v>7.3477871131911413E-4</v>
      </c>
      <c r="AZ34" s="32" t="str">
        <f t="shared" si="61"/>
        <v>1+0.0139607980275404i</v>
      </c>
      <c r="BA34" s="32">
        <f t="shared" si="88"/>
        <v>1.0000974471928052</v>
      </c>
      <c r="BB34" s="32">
        <f t="shared" si="89"/>
        <v>1.3959891129017755E-2</v>
      </c>
      <c r="BC34" s="60" t="str">
        <f t="shared" si="90"/>
        <v>-0.65430408563052+49.4714840833499i</v>
      </c>
      <c r="BD34" s="51">
        <f t="shared" si="91"/>
        <v>33.887858395961374</v>
      </c>
      <c r="BE34" s="63">
        <f t="shared" si="92"/>
        <v>90.757743125120186</v>
      </c>
      <c r="BF34" s="60" t="str">
        <f t="shared" si="93"/>
        <v>24.6316555204094+1152.01640228933i</v>
      </c>
      <c r="BG34" s="66">
        <f t="shared" si="94"/>
        <v>61.231158225942664</v>
      </c>
      <c r="BH34" s="63">
        <f t="shared" si="95"/>
        <v>88.775126033515335</v>
      </c>
      <c r="BI34" s="60" t="e">
        <f t="shared" si="96"/>
        <v>#NUM!</v>
      </c>
      <c r="BJ34" s="66" t="e">
        <f t="shared" si="97"/>
        <v>#NUM!</v>
      </c>
      <c r="BK34" s="63" t="e">
        <f t="shared" si="98"/>
        <v>#NUM!</v>
      </c>
      <c r="BL34" s="51">
        <f t="shared" si="99"/>
        <v>61.231158225942664</v>
      </c>
      <c r="BM34" s="63">
        <f t="shared" si="100"/>
        <v>88.775126033515335</v>
      </c>
    </row>
    <row r="35" spans="1:65" x14ac:dyDescent="0.3">
      <c r="A35" t="s">
        <v>214</v>
      </c>
      <c r="B35" s="30">
        <f>(1+DC_VIN_Var)/(Cout*(VOUT/IOUT))</f>
        <v>2636.5348399246705</v>
      </c>
      <c r="C35" t="s">
        <v>213</v>
      </c>
      <c r="E35" t="s">
        <v>204</v>
      </c>
      <c r="N35" s="11">
        <v>17</v>
      </c>
      <c r="O35" s="52">
        <f t="shared" si="62"/>
        <v>14.791083881682074</v>
      </c>
      <c r="P35" s="50" t="str">
        <f t="shared" si="50"/>
        <v>23.3035714285714</v>
      </c>
      <c r="Q35" s="18" t="str">
        <f t="shared" si="51"/>
        <v>1+0.0352489637213749i</v>
      </c>
      <c r="R35" s="18">
        <f t="shared" si="63"/>
        <v>1.0006210518690035</v>
      </c>
      <c r="S35" s="18">
        <f t="shared" si="64"/>
        <v>3.5234375773282617E-2</v>
      </c>
      <c r="T35" s="18" t="str">
        <f t="shared" si="52"/>
        <v>1+0.000164495164033083i</v>
      </c>
      <c r="U35" s="18">
        <f t="shared" si="65"/>
        <v>1.0000000135293294</v>
      </c>
      <c r="V35" s="18">
        <f t="shared" si="66"/>
        <v>1.6449516254941017E-4</v>
      </c>
      <c r="W35" s="32" t="str">
        <f t="shared" si="53"/>
        <v>1-0.000227174740033134i</v>
      </c>
      <c r="X35" s="18">
        <f t="shared" si="67"/>
        <v>1.000000025804181</v>
      </c>
      <c r="Y35" s="18">
        <f t="shared" si="68"/>
        <v>-2.2717473612509533E-4</v>
      </c>
      <c r="Z35" s="32" t="str">
        <f t="shared" si="54"/>
        <v>0.999999999124895+0.000111496587948921i</v>
      </c>
      <c r="AA35" s="18">
        <f t="shared" si="69"/>
        <v>1.0000000053406395</v>
      </c>
      <c r="AB35" s="18">
        <f t="shared" si="70"/>
        <v>1.1149658758446934E-4</v>
      </c>
      <c r="AC35" s="68" t="str">
        <f t="shared" si="71"/>
        <v>23.2745104607331-0.824461301593343i</v>
      </c>
      <c r="AD35" s="66">
        <f t="shared" si="72"/>
        <v>27.343057275030802</v>
      </c>
      <c r="AE35" s="63">
        <f t="shared" si="73"/>
        <v>-2.0287605845133565</v>
      </c>
      <c r="AF35" s="51" t="e">
        <f t="shared" si="74"/>
        <v>#NUM!</v>
      </c>
      <c r="AG35" s="51" t="str">
        <f t="shared" si="55"/>
        <v>1-0.0493485492099249i</v>
      </c>
      <c r="AH35" s="51">
        <f t="shared" si="75"/>
        <v>1.0012168992326909</v>
      </c>
      <c r="AI35" s="51">
        <f t="shared" si="76"/>
        <v>-4.930854847451397E-2</v>
      </c>
      <c r="AJ35" s="51" t="str">
        <f t="shared" si="56"/>
        <v>1+0.000164495164033083i</v>
      </c>
      <c r="AK35" s="51">
        <f t="shared" si="77"/>
        <v>1.0000000135293294</v>
      </c>
      <c r="AL35" s="51">
        <f t="shared" si="78"/>
        <v>1.6449516254941017E-4</v>
      </c>
      <c r="AM35" s="51" t="e">
        <f t="shared" si="57"/>
        <v>#NUM!</v>
      </c>
      <c r="AN35" s="51" t="e">
        <f t="shared" si="79"/>
        <v>#NUM!</v>
      </c>
      <c r="AO35" s="51" t="e">
        <f t="shared" si="80"/>
        <v>#NUM!</v>
      </c>
      <c r="AP35" s="60" t="e">
        <f t="shared" si="81"/>
        <v>#NUM!</v>
      </c>
      <c r="AQ35" s="51" t="e">
        <f t="shared" si="82"/>
        <v>#NUM!</v>
      </c>
      <c r="AR35" s="63" t="e">
        <f t="shared" si="83"/>
        <v>#NUM!</v>
      </c>
      <c r="AS35" s="32" t="str">
        <f t="shared" si="58"/>
        <v>-0.000170731707317073</v>
      </c>
      <c r="AT35" s="32" t="str">
        <f t="shared" si="59"/>
        <v>3.53153459506053E-06i</v>
      </c>
      <c r="AU35" s="32">
        <f t="shared" si="84"/>
        <v>3.53153459506053E-6</v>
      </c>
      <c r="AV35" s="32">
        <f t="shared" si="85"/>
        <v>1.5707963267948966</v>
      </c>
      <c r="AW35" s="32" t="str">
        <f t="shared" si="60"/>
        <v>1+0.00075189404148574i</v>
      </c>
      <c r="AX35" s="32">
        <f t="shared" si="86"/>
        <v>1.0000002826722849</v>
      </c>
      <c r="AY35" s="32">
        <f t="shared" si="87"/>
        <v>7.5189389979269695E-4</v>
      </c>
      <c r="AZ35" s="32" t="str">
        <f t="shared" si="61"/>
        <v>1+0.0142859867882291i</v>
      </c>
      <c r="BA35" s="32">
        <f t="shared" si="88"/>
        <v>1.0001020395032265</v>
      </c>
      <c r="BB35" s="32">
        <f t="shared" si="89"/>
        <v>1.4285015034308974E-2</v>
      </c>
      <c r="BC35" s="60" t="str">
        <f t="shared" si="90"/>
        <v>-0.65430406898196+48.3453977643379i</v>
      </c>
      <c r="BD35" s="51">
        <f t="shared" si="91"/>
        <v>33.687898169779821</v>
      </c>
      <c r="BE35" s="63">
        <f t="shared" si="92"/>
        <v>90.775390724647082</v>
      </c>
      <c r="BF35" s="60" t="str">
        <f t="shared" si="93"/>
        <v>24.6303026688131+1125.75491437874i</v>
      </c>
      <c r="BG35" s="66">
        <f t="shared" si="94"/>
        <v>61.030955444810651</v>
      </c>
      <c r="BH35" s="63">
        <f t="shared" si="95"/>
        <v>88.746630140133718</v>
      </c>
      <c r="BI35" s="60" t="e">
        <f t="shared" si="96"/>
        <v>#NUM!</v>
      </c>
      <c r="BJ35" s="66" t="e">
        <f t="shared" si="97"/>
        <v>#NUM!</v>
      </c>
      <c r="BK35" s="63" t="e">
        <f t="shared" si="98"/>
        <v>#NUM!</v>
      </c>
      <c r="BL35" s="51">
        <f t="shared" si="99"/>
        <v>61.030955444810651</v>
      </c>
      <c r="BM35" s="63">
        <f t="shared" si="100"/>
        <v>88.746630140133718</v>
      </c>
    </row>
    <row r="36" spans="1:65" x14ac:dyDescent="0.3">
      <c r="B36" s="29">
        <f>wp_lf/(2*PI())</f>
        <v>419.61755240801034</v>
      </c>
      <c r="C36" t="s">
        <v>67</v>
      </c>
      <c r="N36" s="11">
        <v>18</v>
      </c>
      <c r="O36" s="52">
        <f t="shared" si="62"/>
        <v>15.135612484362087</v>
      </c>
      <c r="P36" s="50" t="str">
        <f t="shared" si="50"/>
        <v>23.3035714285714</v>
      </c>
      <c r="Q36" s="18" t="str">
        <f t="shared" si="51"/>
        <v>1+0.0360700175612415i</v>
      </c>
      <c r="R36" s="18">
        <f t="shared" si="63"/>
        <v>1.0006503116308256</v>
      </c>
      <c r="S36" s="18">
        <f t="shared" si="64"/>
        <v>3.6054386841838641E-2</v>
      </c>
      <c r="T36" s="18" t="str">
        <f t="shared" si="52"/>
        <v>1+0.000168326748619127i</v>
      </c>
      <c r="U36" s="18">
        <f t="shared" si="65"/>
        <v>1.0000000141669472</v>
      </c>
      <c r="V36" s="18">
        <f t="shared" si="66"/>
        <v>1.6832674702934293E-4</v>
      </c>
      <c r="W36" s="32" t="str">
        <f t="shared" si="53"/>
        <v>1-0.000232466319499108i</v>
      </c>
      <c r="X36" s="18">
        <f t="shared" si="67"/>
        <v>1.0000000270202944</v>
      </c>
      <c r="Y36" s="18">
        <f t="shared" si="68"/>
        <v>-2.3246631531156914E-4</v>
      </c>
      <c r="Z36" s="32" t="str">
        <f t="shared" si="54"/>
        <v>0.999999999083653+0.000114093677111346i</v>
      </c>
      <c r="AA36" s="18">
        <f t="shared" si="69"/>
        <v>1.0000000055923366</v>
      </c>
      <c r="AB36" s="18">
        <f t="shared" si="70"/>
        <v>1.1409367672082897E-4</v>
      </c>
      <c r="AC36" s="68" t="str">
        <f t="shared" si="71"/>
        <v>23.2731426391128-0.843616134979803i</v>
      </c>
      <c r="AD36" s="66">
        <f t="shared" si="72"/>
        <v>27.342803303337831</v>
      </c>
      <c r="AE36" s="63">
        <f t="shared" si="73"/>
        <v>-2.075976211676958</v>
      </c>
      <c r="AF36" s="51" t="e">
        <f t="shared" si="74"/>
        <v>#NUM!</v>
      </c>
      <c r="AG36" s="51" t="str">
        <f t="shared" si="55"/>
        <v>1-0.0504980245857382i</v>
      </c>
      <c r="AH36" s="51">
        <f t="shared" si="75"/>
        <v>1.0012742134335937</v>
      </c>
      <c r="AI36" s="51">
        <f t="shared" si="76"/>
        <v>-5.0455165970901078E-2</v>
      </c>
      <c r="AJ36" s="51" t="str">
        <f t="shared" si="56"/>
        <v>1+0.000168326748619127i</v>
      </c>
      <c r="AK36" s="51">
        <f t="shared" si="77"/>
        <v>1.0000000141669472</v>
      </c>
      <c r="AL36" s="51">
        <f t="shared" si="78"/>
        <v>1.6832674702934293E-4</v>
      </c>
      <c r="AM36" s="51" t="e">
        <f t="shared" si="57"/>
        <v>#NUM!</v>
      </c>
      <c r="AN36" s="51" t="e">
        <f t="shared" si="79"/>
        <v>#NUM!</v>
      </c>
      <c r="AO36" s="51" t="e">
        <f t="shared" si="80"/>
        <v>#NUM!</v>
      </c>
      <c r="AP36" s="60" t="e">
        <f t="shared" si="81"/>
        <v>#NUM!</v>
      </c>
      <c r="AQ36" s="51" t="e">
        <f t="shared" si="82"/>
        <v>#NUM!</v>
      </c>
      <c r="AR36" s="63" t="e">
        <f t="shared" si="83"/>
        <v>#NUM!</v>
      </c>
      <c r="AS36" s="32" t="str">
        <f t="shared" si="58"/>
        <v>-0.000170731707317073</v>
      </c>
      <c r="AT36" s="32" t="str">
        <f t="shared" si="59"/>
        <v>0.0000036137946031225i</v>
      </c>
      <c r="AU36" s="32">
        <f t="shared" si="84"/>
        <v>3.6137946031225001E-6</v>
      </c>
      <c r="AV36" s="32">
        <f t="shared" si="85"/>
        <v>1.5707963267948966</v>
      </c>
      <c r="AW36" s="32" t="str">
        <f t="shared" si="60"/>
        <v>1+0.000769407903590013i</v>
      </c>
      <c r="AX36" s="32">
        <f t="shared" si="86"/>
        <v>1.0000002959942174</v>
      </c>
      <c r="AY36" s="32">
        <f t="shared" si="87"/>
        <v>7.6940775176318431E-4</v>
      </c>
      <c r="AZ36" s="32" t="str">
        <f t="shared" si="61"/>
        <v>1+0.0146187501682103i</v>
      </c>
      <c r="BA36" s="32">
        <f t="shared" si="88"/>
        <v>1.0001068482199693</v>
      </c>
      <c r="BB36" s="32">
        <f t="shared" si="89"/>
        <v>1.4617708921133024E-2</v>
      </c>
      <c r="BC36" s="60" t="str">
        <f t="shared" si="90"/>
        <v>-0.654304051548776+47.2449448151461i</v>
      </c>
      <c r="BD36" s="51">
        <f t="shared" si="91"/>
        <v>33.487939817687952</v>
      </c>
      <c r="BE36" s="63">
        <f t="shared" si="92"/>
        <v>90.793449210430964</v>
      </c>
      <c r="BF36" s="60" t="str">
        <f t="shared" si="93"/>
        <v>24.6288862212436+1100.09032111498i</v>
      </c>
      <c r="BG36" s="66">
        <f t="shared" si="94"/>
        <v>60.830743121025812</v>
      </c>
      <c r="BH36" s="63">
        <f t="shared" si="95"/>
        <v>88.717472998754019</v>
      </c>
      <c r="BI36" s="60" t="e">
        <f t="shared" si="96"/>
        <v>#NUM!</v>
      </c>
      <c r="BJ36" s="66" t="e">
        <f t="shared" si="97"/>
        <v>#NUM!</v>
      </c>
      <c r="BK36" s="63" t="e">
        <f t="shared" si="98"/>
        <v>#NUM!</v>
      </c>
      <c r="BL36" s="51">
        <f t="shared" si="99"/>
        <v>60.830743121025812</v>
      </c>
      <c r="BM36" s="63">
        <f t="shared" si="100"/>
        <v>88.717472998754019</v>
      </c>
    </row>
    <row r="37" spans="1:65" x14ac:dyDescent="0.3">
      <c r="B37" s="1"/>
      <c r="C37" t="s">
        <v>235</v>
      </c>
      <c r="E37" t="s">
        <v>234</v>
      </c>
      <c r="N37" s="11">
        <v>19</v>
      </c>
      <c r="O37" s="52">
        <f t="shared" si="62"/>
        <v>15.488166189124817</v>
      </c>
      <c r="P37" s="50" t="str">
        <f t="shared" si="50"/>
        <v>23.3035714285714</v>
      </c>
      <c r="Q37" s="18" t="str">
        <f t="shared" si="51"/>
        <v>1+0.0369101962018621i</v>
      </c>
      <c r="R37" s="18">
        <f t="shared" si="63"/>
        <v>1.000680949445756</v>
      </c>
      <c r="S37" s="18">
        <f t="shared" si="64"/>
        <v>3.6893448199755915E-2</v>
      </c>
      <c r="T37" s="18" t="str">
        <f t="shared" si="52"/>
        <v>1+0.000172247582275357i</v>
      </c>
      <c r="U37" s="18">
        <f t="shared" si="65"/>
        <v>1.0000000148346146</v>
      </c>
      <c r="V37" s="18">
        <f t="shared" si="66"/>
        <v>1.7224758057187266E-4</v>
      </c>
      <c r="W37" s="32" t="str">
        <f t="shared" si="53"/>
        <v>1-0.000237881155684736i</v>
      </c>
      <c r="X37" s="18">
        <f t="shared" si="67"/>
        <v>1.0000000282937218</v>
      </c>
      <c r="Y37" s="18">
        <f t="shared" si="68"/>
        <v>-2.3788115119770728E-4</v>
      </c>
      <c r="Z37" s="32" t="str">
        <f t="shared" si="54"/>
        <v>0.999999999040467+0.000116751260251583i</v>
      </c>
      <c r="AA37" s="18">
        <f t="shared" si="69"/>
        <v>1.0000000058558953</v>
      </c>
      <c r="AB37" s="18">
        <f t="shared" si="70"/>
        <v>1.1675125983313646E-4</v>
      </c>
      <c r="AC37" s="68" t="str">
        <f t="shared" si="71"/>
        <v>23.2717105255046-0.863213619508254i</v>
      </c>
      <c r="AD37" s="66">
        <f t="shared" si="72"/>
        <v>27.342537378247034</v>
      </c>
      <c r="AE37" s="63">
        <f t="shared" si="73"/>
        <v>-2.1242887545630444</v>
      </c>
      <c r="AF37" s="51" t="e">
        <f t="shared" si="74"/>
        <v>#NUM!</v>
      </c>
      <c r="AG37" s="51" t="str">
        <f t="shared" si="55"/>
        <v>1-0.0516742746826071i</v>
      </c>
      <c r="AH37" s="51">
        <f t="shared" si="75"/>
        <v>1.0013342252534732</v>
      </c>
      <c r="AI37" s="51">
        <f t="shared" si="76"/>
        <v>-5.1628354153630124E-2</v>
      </c>
      <c r="AJ37" s="51" t="str">
        <f t="shared" si="56"/>
        <v>1+0.000172247582275357i</v>
      </c>
      <c r="AK37" s="51">
        <f t="shared" si="77"/>
        <v>1.0000000148346146</v>
      </c>
      <c r="AL37" s="51">
        <f t="shared" si="78"/>
        <v>1.7224758057187266E-4</v>
      </c>
      <c r="AM37" s="51" t="e">
        <f t="shared" si="57"/>
        <v>#NUM!</v>
      </c>
      <c r="AN37" s="51" t="e">
        <f t="shared" si="79"/>
        <v>#NUM!</v>
      </c>
      <c r="AO37" s="51" t="e">
        <f t="shared" si="80"/>
        <v>#NUM!</v>
      </c>
      <c r="AP37" s="60" t="e">
        <f t="shared" si="81"/>
        <v>#NUM!</v>
      </c>
      <c r="AQ37" s="51" t="e">
        <f t="shared" si="82"/>
        <v>#NUM!</v>
      </c>
      <c r="AR37" s="63" t="e">
        <f t="shared" si="83"/>
        <v>#NUM!</v>
      </c>
      <c r="AS37" s="32" t="str">
        <f t="shared" si="58"/>
        <v>-0.000170731707317073</v>
      </c>
      <c r="AT37" s="32" t="str">
        <f t="shared" si="59"/>
        <v>3.69797069291726E-06i</v>
      </c>
      <c r="AU37" s="32">
        <f t="shared" si="84"/>
        <v>3.69797069291726E-6</v>
      </c>
      <c r="AV37" s="32">
        <f t="shared" si="85"/>
        <v>1.5707963267948966</v>
      </c>
      <c r="AW37" s="32" t="str">
        <f t="shared" si="60"/>
        <v>1+0.000787329715949086i</v>
      </c>
      <c r="AX37" s="32">
        <f t="shared" si="86"/>
        <v>1.0000003099439927</v>
      </c>
      <c r="AY37" s="32">
        <f t="shared" si="87"/>
        <v>7.8732955326371069E-4</v>
      </c>
      <c r="AZ37" s="32" t="str">
        <f t="shared" si="61"/>
        <v>1+0.0149592646030327i</v>
      </c>
      <c r="BA37" s="32">
        <f t="shared" si="88"/>
        <v>1.0001118835397687</v>
      </c>
      <c r="BB37" s="32">
        <f t="shared" si="89"/>
        <v>1.4958148893428959E-2</v>
      </c>
      <c r="BC37" s="60" t="str">
        <f t="shared" si="90"/>
        <v>-0.654304033293994+46.1695417610551i</v>
      </c>
      <c r="BD37" s="51">
        <f t="shared" si="91"/>
        <v>33.287983427971142</v>
      </c>
      <c r="BE37" s="63">
        <f t="shared" si="92"/>
        <v>90.811928140433835</v>
      </c>
      <c r="BF37" s="60" t="str">
        <f t="shared" si="93"/>
        <v>24.6274031961099+1075.00901511131i</v>
      </c>
      <c r="BG37" s="66">
        <f t="shared" si="94"/>
        <v>60.630520806218186</v>
      </c>
      <c r="BH37" s="63">
        <f t="shared" si="95"/>
        <v>88.687639385870796</v>
      </c>
      <c r="BI37" s="60" t="e">
        <f t="shared" si="96"/>
        <v>#NUM!</v>
      </c>
      <c r="BJ37" s="66" t="e">
        <f t="shared" si="97"/>
        <v>#NUM!</v>
      </c>
      <c r="BK37" s="63" t="e">
        <f t="shared" si="98"/>
        <v>#NUM!</v>
      </c>
      <c r="BL37" s="51">
        <f t="shared" si="99"/>
        <v>60.630520806218186</v>
      </c>
      <c r="BM37" s="63">
        <f t="shared" si="100"/>
        <v>88.687639385870796</v>
      </c>
    </row>
    <row r="38" spans="1:65" x14ac:dyDescent="0.3">
      <c r="A38" t="s">
        <v>215</v>
      </c>
      <c r="B38" s="30">
        <f>((VOUT/IOUT)*((1-DC_VIN_Var)^2))/(Lm*DC_VIN_Var)</f>
        <v>409090.90909090912</v>
      </c>
      <c r="C38" t="s">
        <v>213</v>
      </c>
      <c r="E38" t="s">
        <v>205</v>
      </c>
      <c r="N38" s="11">
        <v>20</v>
      </c>
      <c r="O38" s="52">
        <f t="shared" si="62"/>
        <v>15.848931924611136</v>
      </c>
      <c r="P38" s="50" t="str">
        <f t="shared" si="50"/>
        <v>23.3035714285714</v>
      </c>
      <c r="Q38" s="18" t="str">
        <f t="shared" si="51"/>
        <v>1+0.0377699451170732i</v>
      </c>
      <c r="R38" s="18">
        <f t="shared" si="63"/>
        <v>1.0007130301710609</v>
      </c>
      <c r="S38" s="18">
        <f t="shared" si="64"/>
        <v>3.7752000000020138E-2</v>
      </c>
      <c r="T38" s="18" t="str">
        <f t="shared" si="52"/>
        <v>1+0.000176259743879675i</v>
      </c>
      <c r="U38" s="18">
        <f t="shared" si="65"/>
        <v>1.0000000155337485</v>
      </c>
      <c r="V38" s="18">
        <f t="shared" si="66"/>
        <v>1.7625974205435864E-4</v>
      </c>
      <c r="W38" s="32" t="str">
        <f t="shared" si="53"/>
        <v>1-0.000243422119607837i</v>
      </c>
      <c r="X38" s="18">
        <f t="shared" si="67"/>
        <v>1.0000000296271638</v>
      </c>
      <c r="Y38" s="18">
        <f t="shared" si="68"/>
        <v>-2.4342211479989911E-4</v>
      </c>
      <c r="Z38" s="32" t="str">
        <f t="shared" si="54"/>
        <v>0.999999998995245+0.000119470746455392i</v>
      </c>
      <c r="AA38" s="18">
        <f t="shared" si="69"/>
        <v>1.0000000061318746</v>
      </c>
      <c r="AB38" s="18">
        <f t="shared" si="70"/>
        <v>1.1947074600701851E-4</v>
      </c>
      <c r="AC38" s="68" t="str">
        <f t="shared" si="71"/>
        <v>23.2702111064278-0.883263814710771i</v>
      </c>
      <c r="AD38" s="66">
        <f t="shared" si="72"/>
        <v>27.342258937945804</v>
      </c>
      <c r="AE38" s="63">
        <f t="shared" si="73"/>
        <v>-2.1737235582009262</v>
      </c>
      <c r="AF38" s="51" t="e">
        <f t="shared" si="74"/>
        <v>#NUM!</v>
      </c>
      <c r="AG38" s="51" t="str">
        <f t="shared" si="55"/>
        <v>1-0.0528779231639026i</v>
      </c>
      <c r="AH38" s="51">
        <f t="shared" si="75"/>
        <v>1.0013970614886623</v>
      </c>
      <c r="AI38" s="51">
        <f t="shared" si="76"/>
        <v>-5.2828722137339336E-2</v>
      </c>
      <c r="AJ38" s="51" t="str">
        <f t="shared" si="56"/>
        <v>1+0.000176259743879675i</v>
      </c>
      <c r="AK38" s="51">
        <f t="shared" si="77"/>
        <v>1.0000000155337485</v>
      </c>
      <c r="AL38" s="51">
        <f t="shared" si="78"/>
        <v>1.7625974205435864E-4</v>
      </c>
      <c r="AM38" s="51" t="e">
        <f t="shared" si="57"/>
        <v>#NUM!</v>
      </c>
      <c r="AN38" s="51" t="e">
        <f t="shared" si="79"/>
        <v>#NUM!</v>
      </c>
      <c r="AO38" s="51" t="e">
        <f t="shared" si="80"/>
        <v>#NUM!</v>
      </c>
      <c r="AP38" s="60" t="e">
        <f t="shared" si="81"/>
        <v>#NUM!</v>
      </c>
      <c r="AQ38" s="51" t="e">
        <f t="shared" si="82"/>
        <v>#NUM!</v>
      </c>
      <c r="AR38" s="63" t="e">
        <f t="shared" si="83"/>
        <v>#NUM!</v>
      </c>
      <c r="AS38" s="32" t="str">
        <f t="shared" si="58"/>
        <v>-0.000170731707317073</v>
      </c>
      <c r="AT38" s="32" t="str">
        <f t="shared" si="59"/>
        <v>3.78410749572183E-06i</v>
      </c>
      <c r="AU38" s="32">
        <f t="shared" si="84"/>
        <v>3.7841074957218301E-6</v>
      </c>
      <c r="AV38" s="32">
        <f t="shared" si="85"/>
        <v>1.5707963267948966</v>
      </c>
      <c r="AW38" s="32" t="str">
        <f t="shared" si="60"/>
        <v>1+0.000805668980945097i</v>
      </c>
      <c r="AX38" s="32">
        <f t="shared" si="86"/>
        <v>1.0000003245512008</v>
      </c>
      <c r="AY38" s="32">
        <f t="shared" si="87"/>
        <v>8.0566880662457979E-4</v>
      </c>
      <c r="AZ38" s="32" t="str">
        <f t="shared" si="61"/>
        <v>1+0.0153077106379569i</v>
      </c>
      <c r="BA38" s="32">
        <f t="shared" si="88"/>
        <v>1.0001171561397073</v>
      </c>
      <c r="BB38" s="32">
        <f t="shared" si="89"/>
        <v>1.5306515141140958E-2</v>
      </c>
      <c r="BC38" s="60" t="str">
        <f t="shared" si="90"/>
        <v>-0.65430401417889+45.1186184091306i</v>
      </c>
      <c r="BD38" s="51">
        <f t="shared" si="91"/>
        <v>33.08802909307169</v>
      </c>
      <c r="BE38" s="63">
        <f t="shared" si="92"/>
        <v>90.830837294335524</v>
      </c>
      <c r="BF38" s="60" t="str">
        <f t="shared" si="93"/>
        <v>24.6258504728024+1050.49769827037i</v>
      </c>
      <c r="BG38" s="66">
        <f t="shared" si="94"/>
        <v>60.430288031017469</v>
      </c>
      <c r="BH38" s="63">
        <f t="shared" si="95"/>
        <v>88.657113736134619</v>
      </c>
      <c r="BI38" s="60" t="e">
        <f t="shared" si="96"/>
        <v>#NUM!</v>
      </c>
      <c r="BJ38" s="66" t="e">
        <f t="shared" si="97"/>
        <v>#NUM!</v>
      </c>
      <c r="BK38" s="63" t="e">
        <f t="shared" si="98"/>
        <v>#NUM!</v>
      </c>
      <c r="BL38" s="51">
        <f t="shared" si="99"/>
        <v>60.430288031017469</v>
      </c>
      <c r="BM38" s="63">
        <f t="shared" si="100"/>
        <v>88.657113736134619</v>
      </c>
    </row>
    <row r="39" spans="1:65" x14ac:dyDescent="0.3">
      <c r="A39" s="32"/>
      <c r="B39" s="1">
        <f>wz_rhp/2*PI()</f>
        <v>642598.49732518499</v>
      </c>
      <c r="C39" s="32" t="s">
        <v>67</v>
      </c>
      <c r="D39" s="32"/>
      <c r="E39" s="32"/>
      <c r="F39" s="32"/>
      <c r="G39" s="32"/>
      <c r="N39" s="11">
        <v>21</v>
      </c>
      <c r="O39" s="52">
        <f t="shared" si="62"/>
        <v>16.218100973589298</v>
      </c>
      <c r="P39" s="50" t="str">
        <f t="shared" si="50"/>
        <v>23.3035714285714</v>
      </c>
      <c r="Q39" s="18" t="str">
        <f t="shared" si="51"/>
        <v>1+0.0386497201571296i</v>
      </c>
      <c r="R39" s="18">
        <f t="shared" si="63"/>
        <v>1.0007466217121217</v>
      </c>
      <c r="S39" s="18">
        <f t="shared" si="64"/>
        <v>3.8630492392484873E-2</v>
      </c>
      <c r="T39" s="18" t="str">
        <f t="shared" si="52"/>
        <v>1+0.000180365360733272i</v>
      </c>
      <c r="U39" s="18">
        <f t="shared" si="65"/>
        <v>1.0000000162658316</v>
      </c>
      <c r="V39" s="18">
        <f t="shared" si="66"/>
        <v>1.803653587774103E-4</v>
      </c>
      <c r="W39" s="32" t="str">
        <f t="shared" si="53"/>
        <v>1-0.000249092149160827i</v>
      </c>
      <c r="X39" s="18">
        <f t="shared" si="67"/>
        <v>1.0000000310234489</v>
      </c>
      <c r="Y39" s="18">
        <f t="shared" si="68"/>
        <v>-2.4909214400902873E-4</v>
      </c>
      <c r="Z39" s="32" t="str">
        <f t="shared" si="54"/>
        <v>0.999999998947893+0.000122253577630353i</v>
      </c>
      <c r="AA39" s="18">
        <f t="shared" si="69"/>
        <v>1.0000000064208616</v>
      </c>
      <c r="AB39" s="18">
        <f t="shared" si="70"/>
        <v>1.2225357714991207E-4</v>
      </c>
      <c r="AC39" s="68" t="str">
        <f t="shared" si="71"/>
        <v>23.2686412279683-0.903776996568666i</v>
      </c>
      <c r="AD39" s="66">
        <f t="shared" si="72"/>
        <v>27.341967394291782</v>
      </c>
      <c r="AE39" s="63">
        <f t="shared" si="73"/>
        <v>-2.2243065433359552</v>
      </c>
      <c r="AF39" s="51" t="e">
        <f t="shared" si="74"/>
        <v>#NUM!</v>
      </c>
      <c r="AG39" s="51" t="str">
        <f t="shared" si="55"/>
        <v>1-0.0541096082199816i</v>
      </c>
      <c r="AH39" s="51">
        <f t="shared" si="75"/>
        <v>1.0014628548786619</v>
      </c>
      <c r="AI39" s="51">
        <f t="shared" si="76"/>
        <v>-5.4056892528451486E-2</v>
      </c>
      <c r="AJ39" s="51" t="str">
        <f t="shared" si="56"/>
        <v>1+0.000180365360733272i</v>
      </c>
      <c r="AK39" s="51">
        <f t="shared" si="77"/>
        <v>1.0000000162658316</v>
      </c>
      <c r="AL39" s="51">
        <f t="shared" si="78"/>
        <v>1.803653587774103E-4</v>
      </c>
      <c r="AM39" s="51" t="e">
        <f t="shared" si="57"/>
        <v>#NUM!</v>
      </c>
      <c r="AN39" s="51" t="e">
        <f t="shared" si="79"/>
        <v>#NUM!</v>
      </c>
      <c r="AO39" s="51" t="e">
        <f t="shared" si="80"/>
        <v>#NUM!</v>
      </c>
      <c r="AP39" s="60" t="e">
        <f t="shared" si="81"/>
        <v>#NUM!</v>
      </c>
      <c r="AQ39" s="51" t="e">
        <f t="shared" si="82"/>
        <v>#NUM!</v>
      </c>
      <c r="AR39" s="63" t="e">
        <f t="shared" si="83"/>
        <v>#NUM!</v>
      </c>
      <c r="AS39" s="32" t="str">
        <f t="shared" si="58"/>
        <v>-0.000170731707317073</v>
      </c>
      <c r="AT39" s="32" t="str">
        <f t="shared" si="59"/>
        <v>3.87225068240923E-06i</v>
      </c>
      <c r="AU39" s="32">
        <f t="shared" si="84"/>
        <v>3.8722506824092302E-6</v>
      </c>
      <c r="AV39" s="32">
        <f t="shared" si="85"/>
        <v>1.5707963267948966</v>
      </c>
      <c r="AW39" s="32" t="str">
        <f t="shared" si="60"/>
        <v>1+0.000824435422299092i</v>
      </c>
      <c r="AX39" s="32">
        <f t="shared" si="86"/>
        <v>1.0000003398468249</v>
      </c>
      <c r="AY39" s="32">
        <f t="shared" si="87"/>
        <v>8.2443523551129589E-4</v>
      </c>
      <c r="AZ39" s="32" t="str">
        <f t="shared" si="61"/>
        <v>1+0.0156642730236828i</v>
      </c>
      <c r="BA39" s="32">
        <f t="shared" si="88"/>
        <v>1.0001226771998326</v>
      </c>
      <c r="BB39" s="32">
        <f t="shared" si="89"/>
        <v>1.5662992034251432E-2</v>
      </c>
      <c r="BC39" s="60" t="str">
        <f t="shared" si="90"/>
        <v>-0.654303994162918+44.0916175459005i</v>
      </c>
      <c r="BD39" s="51">
        <f t="shared" si="91"/>
        <v>32.888076909784594</v>
      </c>
      <c r="BE39" s="63">
        <f t="shared" si="92"/>
        <v>90.850186678632966</v>
      </c>
      <c r="BF39" s="60" t="str">
        <f t="shared" si="93"/>
        <v>24.6242247852846+1026.54337473504i</v>
      </c>
      <c r="BG39" s="66">
        <f t="shared" si="94"/>
        <v>60.230044304076387</v>
      </c>
      <c r="BH39" s="63">
        <f t="shared" si="95"/>
        <v>88.625880135297024</v>
      </c>
      <c r="BI39" s="60" t="e">
        <f t="shared" si="96"/>
        <v>#NUM!</v>
      </c>
      <c r="BJ39" s="66" t="e">
        <f t="shared" si="97"/>
        <v>#NUM!</v>
      </c>
      <c r="BK39" s="63" t="e">
        <f t="shared" si="98"/>
        <v>#NUM!</v>
      </c>
      <c r="BL39" s="51">
        <f t="shared" si="99"/>
        <v>60.230044304076387</v>
      </c>
      <c r="BM39" s="63">
        <f t="shared" si="100"/>
        <v>88.625880135297024</v>
      </c>
    </row>
    <row r="40" spans="1:65" x14ac:dyDescent="0.3">
      <c r="A40" s="32"/>
      <c r="B40" s="1"/>
      <c r="C40" s="32"/>
      <c r="D40" s="32"/>
      <c r="E40" s="32"/>
      <c r="F40" s="32"/>
      <c r="G40" s="32"/>
      <c r="N40" s="11">
        <v>22</v>
      </c>
      <c r="O40" s="52">
        <f t="shared" si="62"/>
        <v>16.595869074375614</v>
      </c>
      <c r="P40" s="50" t="str">
        <f t="shared" si="50"/>
        <v>23.3035714285714</v>
      </c>
      <c r="Q40" s="18" t="str">
        <f t="shared" si="51"/>
        <v>1+0.0395499877904031i</v>
      </c>
      <c r="R40" s="18">
        <f t="shared" si="63"/>
        <v>1.0007817951652702</v>
      </c>
      <c r="S40" s="18">
        <f t="shared" si="64"/>
        <v>3.9529385738545954E-2</v>
      </c>
      <c r="T40" s="18" t="str">
        <f t="shared" si="52"/>
        <v>1+0.000184566609688548i</v>
      </c>
      <c r="U40" s="18">
        <f t="shared" si="65"/>
        <v>1.0000000170324166</v>
      </c>
      <c r="V40" s="18">
        <f t="shared" si="66"/>
        <v>1.8456660759280443E-4</v>
      </c>
      <c r="W40" s="32" t="str">
        <f t="shared" si="53"/>
        <v>1-0.000254894250668427i</v>
      </c>
      <c r="X40" s="18">
        <f t="shared" si="67"/>
        <v>1.0000000324855389</v>
      </c>
      <c r="Y40" s="18">
        <f t="shared" si="68"/>
        <v>-2.5489424514817571E-4</v>
      </c>
      <c r="Z40" s="32" t="str">
        <f t="shared" si="54"/>
        <v>0.999999998898308+0.000125101229270391i</v>
      </c>
      <c r="AA40" s="18">
        <f t="shared" si="69"/>
        <v>1.0000000067234667</v>
      </c>
      <c r="AB40" s="18">
        <f t="shared" si="70"/>
        <v>1.2510122875558936E-4</v>
      </c>
      <c r="AC40" s="68" t="str">
        <f t="shared" si="71"/>
        <v>23.2669975893128-0.924763661287845i</v>
      </c>
      <c r="AD40" s="66">
        <f t="shared" si="72"/>
        <v>27.341662131586286</v>
      </c>
      <c r="AE40" s="63">
        <f t="shared" si="73"/>
        <v>-2.2760642187979503</v>
      </c>
      <c r="AF40" s="51" t="e">
        <f t="shared" si="74"/>
        <v>#NUM!</v>
      </c>
      <c r="AG40" s="51" t="str">
        <f t="shared" si="55"/>
        <v>1-0.0553699829065644i</v>
      </c>
      <c r="AH40" s="51">
        <f t="shared" si="75"/>
        <v>1.0015317443831089</v>
      </c>
      <c r="AI40" s="51">
        <f t="shared" si="76"/>
        <v>-5.5313501690159993E-2</v>
      </c>
      <c r="AJ40" s="51" t="str">
        <f t="shared" si="56"/>
        <v>1+0.000184566609688548i</v>
      </c>
      <c r="AK40" s="51">
        <f t="shared" si="77"/>
        <v>1.0000000170324166</v>
      </c>
      <c r="AL40" s="51">
        <f t="shared" si="78"/>
        <v>1.8456660759280443E-4</v>
      </c>
      <c r="AM40" s="51" t="e">
        <f t="shared" si="57"/>
        <v>#NUM!</v>
      </c>
      <c r="AN40" s="51" t="e">
        <f t="shared" si="79"/>
        <v>#NUM!</v>
      </c>
      <c r="AO40" s="51" t="e">
        <f t="shared" si="80"/>
        <v>#NUM!</v>
      </c>
      <c r="AP40" s="60" t="e">
        <f t="shared" si="81"/>
        <v>#NUM!</v>
      </c>
      <c r="AQ40" s="51" t="e">
        <f t="shared" si="82"/>
        <v>#NUM!</v>
      </c>
      <c r="AR40" s="63" t="e">
        <f t="shared" si="83"/>
        <v>#NUM!</v>
      </c>
      <c r="AS40" s="32" t="str">
        <f t="shared" si="58"/>
        <v>-0.000170731707317073</v>
      </c>
      <c r="AT40" s="32" t="str">
        <f t="shared" si="59"/>
        <v>3.96244698766373E-06i</v>
      </c>
      <c r="AU40" s="32">
        <f t="shared" si="84"/>
        <v>3.9624469876637298E-6</v>
      </c>
      <c r="AV40" s="32">
        <f t="shared" si="85"/>
        <v>1.5707963267948966</v>
      </c>
      <c r="AW40" s="32" t="str">
        <f t="shared" si="60"/>
        <v>1+0.000843638990226688i</v>
      </c>
      <c r="AX40" s="32">
        <f t="shared" si="86"/>
        <v>1.0000003558633095</v>
      </c>
      <c r="AY40" s="32">
        <f t="shared" si="87"/>
        <v>8.4363879007996246E-4</v>
      </c>
      <c r="AZ40" s="32" t="str">
        <f t="shared" si="61"/>
        <v>1+0.0160291408143071i</v>
      </c>
      <c r="BA40" s="32">
        <f t="shared" si="88"/>
        <v>1.0001284584268388</v>
      </c>
      <c r="BB40" s="32">
        <f t="shared" si="89"/>
        <v>1.6027768218923173E-2</v>
      </c>
      <c r="BC40" s="60" t="str">
        <f t="shared" si="90"/>
        <v>-0.654303973203627+43.0879946419134i</v>
      </c>
      <c r="BD40" s="51">
        <f t="shared" si="91"/>
        <v>32.688126979462375</v>
      </c>
      <c r="BE40" s="63">
        <f t="shared" si="92"/>
        <v>90.869986531853101</v>
      </c>
      <c r="BF40" s="60" t="str">
        <f t="shared" si="93"/>
        <v>24.6225227154003+1003.13334399958i</v>
      </c>
      <c r="BG40" s="66">
        <f t="shared" si="94"/>
        <v>60.029789111048693</v>
      </c>
      <c r="BH40" s="63">
        <f t="shared" si="95"/>
        <v>88.59392231305516</v>
      </c>
      <c r="BI40" s="60" t="e">
        <f t="shared" si="96"/>
        <v>#NUM!</v>
      </c>
      <c r="BJ40" s="66" t="e">
        <f t="shared" si="97"/>
        <v>#NUM!</v>
      </c>
      <c r="BK40" s="63" t="e">
        <f t="shared" si="98"/>
        <v>#NUM!</v>
      </c>
      <c r="BL40" s="51">
        <f t="shared" si="99"/>
        <v>60.029789111048693</v>
      </c>
      <c r="BM40" s="63">
        <f t="shared" si="100"/>
        <v>88.59392231305516</v>
      </c>
    </row>
    <row r="41" spans="1:65" x14ac:dyDescent="0.3">
      <c r="A41" t="s">
        <v>216</v>
      </c>
      <c r="B41" s="30">
        <f>1/(Cout*Resr)</f>
        <v>564971.75141242938</v>
      </c>
      <c r="C41" t="s">
        <v>213</v>
      </c>
      <c r="E41" t="s">
        <v>206</v>
      </c>
      <c r="N41" s="11">
        <v>23</v>
      </c>
      <c r="O41" s="52">
        <f t="shared" si="62"/>
        <v>16.982436524617448</v>
      </c>
      <c r="P41" s="50" t="str">
        <f t="shared" si="50"/>
        <v>23.3035714285714</v>
      </c>
      <c r="Q41" s="18" t="str">
        <f t="shared" si="51"/>
        <v>1+0.0404712253507087i</v>
      </c>
      <c r="R41" s="18">
        <f t="shared" si="63"/>
        <v>1.0008186249672755</v>
      </c>
      <c r="S41" s="18">
        <f t="shared" si="64"/>
        <v>4.0449150829525368E-2</v>
      </c>
      <c r="T41" s="18" t="str">
        <f t="shared" si="52"/>
        <v>1+0.000188865718303307i</v>
      </c>
      <c r="U41" s="18">
        <f t="shared" si="65"/>
        <v>1.0000000178351296</v>
      </c>
      <c r="V41" s="18">
        <f t="shared" si="66"/>
        <v>1.8886571605767732E-4</v>
      </c>
      <c r="W41" s="32" t="str">
        <f t="shared" si="53"/>
        <v>1-0.000260831500481655i</v>
      </c>
      <c r="X41" s="18">
        <f t="shared" si="67"/>
        <v>1.0000000340165351</v>
      </c>
      <c r="Y41" s="18">
        <f t="shared" si="68"/>
        <v>-2.6083149456659915E-4</v>
      </c>
      <c r="Z41" s="32" t="str">
        <f t="shared" si="54"/>
        <v>0.999999998846387+0.000128015211238099i</v>
      </c>
      <c r="AA41" s="18">
        <f t="shared" si="69"/>
        <v>1.0000000070403341</v>
      </c>
      <c r="AB41" s="18">
        <f t="shared" si="70"/>
        <v>1.280152106864791E-4</v>
      </c>
      <c r="AC41" s="68" t="str">
        <f t="shared" si="71"/>
        <v>23.2652767359918-0.946234529072768i</v>
      </c>
      <c r="AD41" s="66">
        <f t="shared" si="72"/>
        <v>27.341342505290847</v>
      </c>
      <c r="AE41" s="63">
        <f t="shared" si="73"/>
        <v>-2.3290236940836482</v>
      </c>
      <c r="AF41" s="51" t="e">
        <f t="shared" si="74"/>
        <v>#NUM!</v>
      </c>
      <c r="AG41" s="51" t="str">
        <f t="shared" si="55"/>
        <v>1-0.0566597154909923i</v>
      </c>
      <c r="AH41" s="51">
        <f t="shared" si="75"/>
        <v>1.001603875471496</v>
      </c>
      <c r="AI41" s="51">
        <f t="shared" si="76"/>
        <v>-5.6599200010124424E-2</v>
      </c>
      <c r="AJ41" s="51" t="str">
        <f t="shared" si="56"/>
        <v>1+0.000188865718303307i</v>
      </c>
      <c r="AK41" s="51">
        <f t="shared" si="77"/>
        <v>1.0000000178351296</v>
      </c>
      <c r="AL41" s="51">
        <f t="shared" si="78"/>
        <v>1.8886571605767732E-4</v>
      </c>
      <c r="AM41" s="51" t="e">
        <f t="shared" si="57"/>
        <v>#NUM!</v>
      </c>
      <c r="AN41" s="51" t="e">
        <f t="shared" si="79"/>
        <v>#NUM!</v>
      </c>
      <c r="AO41" s="51" t="e">
        <f t="shared" si="80"/>
        <v>#NUM!</v>
      </c>
      <c r="AP41" s="60" t="e">
        <f t="shared" si="81"/>
        <v>#NUM!</v>
      </c>
      <c r="AQ41" s="51" t="e">
        <f t="shared" si="82"/>
        <v>#NUM!</v>
      </c>
      <c r="AR41" s="63" t="e">
        <f t="shared" si="83"/>
        <v>#NUM!</v>
      </c>
      <c r="AS41" s="32" t="str">
        <f t="shared" si="58"/>
        <v>-0.000170731707317073</v>
      </c>
      <c r="AT41" s="32" t="str">
        <f t="shared" si="59"/>
        <v>4.05474423476028E-06i</v>
      </c>
      <c r="AU41" s="32">
        <f t="shared" si="84"/>
        <v>4.0547442347602803E-6</v>
      </c>
      <c r="AV41" s="32">
        <f t="shared" si="85"/>
        <v>1.5707963267948966</v>
      </c>
      <c r="AW41" s="32" t="str">
        <f t="shared" si="60"/>
        <v>1+0.000863289866713778i</v>
      </c>
      <c r="AX41" s="32">
        <f t="shared" si="86"/>
        <v>1.0000003726346276</v>
      </c>
      <c r="AY41" s="32">
        <f t="shared" si="87"/>
        <v>8.6328965225270198E-4</v>
      </c>
      <c r="AZ41" s="32" t="str">
        <f t="shared" si="61"/>
        <v>1+0.0164025074675618i</v>
      </c>
      <c r="BA41" s="32">
        <f t="shared" si="88"/>
        <v>1.0001345120788621</v>
      </c>
      <c r="BB41" s="32">
        <f t="shared" si="89"/>
        <v>1.640103671579286E-2</v>
      </c>
      <c r="BC41" s="60" t="str">
        <f t="shared" si="90"/>
        <v>-0.654303951256553+42.1072175630207i</v>
      </c>
      <c r="BD41" s="51">
        <f t="shared" si="91"/>
        <v>32.488179408229229</v>
      </c>
      <c r="BE41" s="63">
        <f t="shared" si="92"/>
        <v>90.890247329882627</v>
      </c>
      <c r="BF41" s="60" t="str">
        <f t="shared" si="93"/>
        <v>24.6207406858729+980.255194177479i</v>
      </c>
      <c r="BG41" s="66">
        <f t="shared" si="94"/>
        <v>59.829521913520082</v>
      </c>
      <c r="BH41" s="63">
        <f t="shared" si="95"/>
        <v>88.561223635798996</v>
      </c>
      <c r="BI41" s="60" t="e">
        <f t="shared" si="96"/>
        <v>#NUM!</v>
      </c>
      <c r="BJ41" s="66" t="e">
        <f t="shared" si="97"/>
        <v>#NUM!</v>
      </c>
      <c r="BK41" s="63" t="e">
        <f t="shared" si="98"/>
        <v>#NUM!</v>
      </c>
      <c r="BL41" s="51">
        <f t="shared" si="99"/>
        <v>59.829521913520082</v>
      </c>
      <c r="BM41" s="63">
        <f t="shared" si="100"/>
        <v>88.561223635798996</v>
      </c>
    </row>
    <row r="42" spans="1:65" s="32" customFormat="1" x14ac:dyDescent="0.3">
      <c r="B42" s="30"/>
      <c r="K42"/>
      <c r="N42" s="11">
        <v>24</v>
      </c>
      <c r="O42" s="52">
        <f t="shared" si="62"/>
        <v>17.378008287493756</v>
      </c>
      <c r="P42" s="50" t="str">
        <f t="shared" si="50"/>
        <v>23.3035714285714</v>
      </c>
      <c r="Q42" s="18" t="str">
        <f t="shared" si="51"/>
        <v>1+0.0414139212903956i</v>
      </c>
      <c r="R42" s="18">
        <f t="shared" si="63"/>
        <v>1.0008571890517883</v>
      </c>
      <c r="S42" s="18">
        <f t="shared" si="64"/>
        <v>4.1390269108766448E-2</v>
      </c>
      <c r="T42" s="18" t="str">
        <f t="shared" si="52"/>
        <v>1+0.000193264966021846i</v>
      </c>
      <c r="U42" s="18">
        <f t="shared" si="65"/>
        <v>1.0000000186756735</v>
      </c>
      <c r="V42" s="18">
        <f t="shared" si="66"/>
        <v>1.9326496361561044E-4</v>
      </c>
      <c r="W42" s="32" t="str">
        <f t="shared" si="53"/>
        <v>1-0.000266907046608953i</v>
      </c>
      <c r="X42" s="18">
        <f t="shared" si="67"/>
        <v>1.0000000356196852</v>
      </c>
      <c r="Y42" s="18">
        <f t="shared" si="68"/>
        <v>-2.6690704027085651E-4</v>
      </c>
      <c r="Z42" s="32" t="str">
        <f t="shared" si="54"/>
        <v>0.999999998792019+0.000130997068565288i</v>
      </c>
      <c r="AA42" s="18">
        <f t="shared" si="69"/>
        <v>1.0000000073721349</v>
      </c>
      <c r="AB42" s="18">
        <f t="shared" si="70"/>
        <v>1.3099706797421661E-4</v>
      </c>
      <c r="AC42" s="68" t="str">
        <f t="shared" si="71"/>
        <v>23.2634750528224-0.968200547893107i</v>
      </c>
      <c r="AD42" s="66">
        <f t="shared" si="72"/>
        <v>27.341007840685624</v>
      </c>
      <c r="AE42" s="63">
        <f t="shared" si="73"/>
        <v>-2.3832126921534593</v>
      </c>
      <c r="AF42" s="51" t="e">
        <f t="shared" si="74"/>
        <v>#NUM!</v>
      </c>
      <c r="AG42" s="51" t="str">
        <f t="shared" si="55"/>
        <v>1-0.057979489806554i</v>
      </c>
      <c r="AH42" s="51">
        <f t="shared" si="75"/>
        <v>1.0016794004262184</v>
      </c>
      <c r="AI42" s="51">
        <f t="shared" si="76"/>
        <v>-5.7914652170703795E-2</v>
      </c>
      <c r="AJ42" s="51" t="str">
        <f t="shared" si="56"/>
        <v>1+0.000193264966021846i</v>
      </c>
      <c r="AK42" s="51">
        <f t="shared" si="77"/>
        <v>1.0000000186756735</v>
      </c>
      <c r="AL42" s="51">
        <f t="shared" si="78"/>
        <v>1.9326496361561044E-4</v>
      </c>
      <c r="AM42" s="51" t="e">
        <f t="shared" si="57"/>
        <v>#NUM!</v>
      </c>
      <c r="AN42" s="51" t="e">
        <f t="shared" si="79"/>
        <v>#NUM!</v>
      </c>
      <c r="AO42" s="51" t="e">
        <f t="shared" si="80"/>
        <v>#NUM!</v>
      </c>
      <c r="AP42" s="60" t="e">
        <f t="shared" si="81"/>
        <v>#NUM!</v>
      </c>
      <c r="AQ42" s="51" t="e">
        <f t="shared" si="82"/>
        <v>#NUM!</v>
      </c>
      <c r="AR42" s="63" t="e">
        <f t="shared" si="83"/>
        <v>#NUM!</v>
      </c>
      <c r="AS42" s="32" t="str">
        <f t="shared" si="58"/>
        <v>-0.000170731707317073</v>
      </c>
      <c r="AT42" s="32" t="str">
        <f t="shared" si="59"/>
        <v>4.14919136092098E-06i</v>
      </c>
      <c r="AU42" s="32">
        <f t="shared" si="84"/>
        <v>4.1491913609209798E-6</v>
      </c>
      <c r="AV42" s="32">
        <f t="shared" si="85"/>
        <v>1.5707963267948966</v>
      </c>
      <c r="AW42" s="32" t="str">
        <f t="shared" si="60"/>
        <v>1+0.000883398470915199i</v>
      </c>
      <c r="AX42" s="32">
        <f t="shared" si="86"/>
        <v>1.000000390196353</v>
      </c>
      <c r="AY42" s="32">
        <f t="shared" si="87"/>
        <v>8.8339824111602057E-4</v>
      </c>
      <c r="AZ42" s="32" t="str">
        <f t="shared" si="61"/>
        <v>1+0.0167845709473888i</v>
      </c>
      <c r="BA42" s="32">
        <f t="shared" si="88"/>
        <v>1.0001408509914431</v>
      </c>
      <c r="BB42" s="32">
        <f t="shared" si="89"/>
        <v>1.6782995020461728E-2</v>
      </c>
      <c r="BC42" s="60" t="str">
        <f t="shared" si="90"/>
        <v>-0.654303928275151+41.148766288233i</v>
      </c>
      <c r="BD42" s="51">
        <f t="shared" si="91"/>
        <v>32.288234307205592</v>
      </c>
      <c r="BE42" s="63">
        <f t="shared" si="92"/>
        <v>90.910979791416295</v>
      </c>
      <c r="BF42" s="60" t="str">
        <f t="shared" si="93"/>
        <v>24.6188749529999+957.896795422572i</v>
      </c>
      <c r="BG42" s="66">
        <f t="shared" si="94"/>
        <v>59.629242147891205</v>
      </c>
      <c r="BH42" s="63">
        <f t="shared" si="95"/>
        <v>88.527767099262846</v>
      </c>
      <c r="BI42" s="60" t="e">
        <f t="shared" si="96"/>
        <v>#NUM!</v>
      </c>
      <c r="BJ42" s="66" t="e">
        <f t="shared" si="97"/>
        <v>#NUM!</v>
      </c>
      <c r="BK42" s="63" t="e">
        <f t="shared" si="98"/>
        <v>#NUM!</v>
      </c>
      <c r="BL42" s="51">
        <f t="shared" si="99"/>
        <v>59.629242147891205</v>
      </c>
      <c r="BM42" s="63">
        <f t="shared" si="100"/>
        <v>88.527767099262846</v>
      </c>
    </row>
    <row r="43" spans="1:65" s="32" customFormat="1" x14ac:dyDescent="0.3">
      <c r="A43"/>
      <c r="B43" s="1"/>
      <c r="C43"/>
      <c r="D43"/>
      <c r="E43"/>
      <c r="F43"/>
      <c r="G43"/>
      <c r="N43" s="11">
        <v>25</v>
      </c>
      <c r="O43" s="52">
        <f t="shared" si="62"/>
        <v>17.782794100389236</v>
      </c>
      <c r="P43" s="50" t="str">
        <f t="shared" si="50"/>
        <v>23.3035714285714</v>
      </c>
      <c r="Q43" s="18" t="str">
        <f t="shared" si="51"/>
        <v>1+0.0423785754393283i</v>
      </c>
      <c r="R43" s="18">
        <f t="shared" si="63"/>
        <v>1.0008975690130668</v>
      </c>
      <c r="S43" s="18">
        <f t="shared" si="64"/>
        <v>4.2353232897420857E-2</v>
      </c>
      <c r="T43" s="18" t="str">
        <f t="shared" si="52"/>
        <v>1+0.000197766685383532i</v>
      </c>
      <c r="U43" s="18">
        <f t="shared" si="65"/>
        <v>1.0000000195558307</v>
      </c>
      <c r="V43" s="18">
        <f t="shared" si="66"/>
        <v>1.9776668280520416E-4</v>
      </c>
      <c r="W43" s="32" t="str">
        <f t="shared" si="53"/>
        <v>1-0.000273124110385292i</v>
      </c>
      <c r="X43" s="18">
        <f t="shared" si="67"/>
        <v>1.000000037298389</v>
      </c>
      <c r="Y43" s="18">
        <f t="shared" si="68"/>
        <v>-2.7312410359389932E-4</v>
      </c>
      <c r="Z43" s="32" t="str">
        <f t="shared" si="54"/>
        <v>0.999999998735089+0.00013404838227218i</v>
      </c>
      <c r="AA43" s="18">
        <f t="shared" si="69"/>
        <v>1.0000000077195732</v>
      </c>
      <c r="AB43" s="18">
        <f t="shared" si="70"/>
        <v>1.3404838163883555E-4</v>
      </c>
      <c r="AC43" s="68" t="str">
        <f t="shared" si="71"/>
        <v>23.2615887565329-0.990672897235895i</v>
      </c>
      <c r="AD43" s="66">
        <f t="shared" si="72"/>
        <v>27.340657431465047</v>
      </c>
      <c r="AE43" s="63">
        <f t="shared" si="73"/>
        <v>-2.4386595624414973</v>
      </c>
      <c r="AF43" s="51" t="e">
        <f t="shared" si="74"/>
        <v>#NUM!</v>
      </c>
      <c r="AG43" s="51" t="str">
        <f t="shared" si="55"/>
        <v>1-0.0593300056150598i</v>
      </c>
      <c r="AH43" s="51">
        <f t="shared" si="75"/>
        <v>1.0017584786595435</v>
      </c>
      <c r="AI43" s="51">
        <f t="shared" si="76"/>
        <v>-5.9260537421521778E-2</v>
      </c>
      <c r="AJ43" s="51" t="str">
        <f t="shared" si="56"/>
        <v>1+0.000197766685383532i</v>
      </c>
      <c r="AK43" s="51">
        <f t="shared" si="77"/>
        <v>1.0000000195558307</v>
      </c>
      <c r="AL43" s="51">
        <f t="shared" si="78"/>
        <v>1.9776668280520416E-4</v>
      </c>
      <c r="AM43" s="51" t="e">
        <f t="shared" si="57"/>
        <v>#NUM!</v>
      </c>
      <c r="AN43" s="51" t="e">
        <f t="shared" si="79"/>
        <v>#NUM!</v>
      </c>
      <c r="AO43" s="51" t="e">
        <f t="shared" si="80"/>
        <v>#NUM!</v>
      </c>
      <c r="AP43" s="60" t="e">
        <f t="shared" si="81"/>
        <v>#NUM!</v>
      </c>
      <c r="AQ43" s="51" t="e">
        <f t="shared" si="82"/>
        <v>#NUM!</v>
      </c>
      <c r="AR43" s="63" t="e">
        <f t="shared" si="83"/>
        <v>#NUM!</v>
      </c>
      <c r="AS43" s="32" t="str">
        <f t="shared" si="58"/>
        <v>-0.000170731707317073</v>
      </c>
      <c r="AT43" s="32" t="str">
        <f t="shared" si="59"/>
        <v>4.24583844326229E-06i</v>
      </c>
      <c r="AU43" s="32">
        <f t="shared" si="84"/>
        <v>4.2458384432622904E-6</v>
      </c>
      <c r="AV43" s="32">
        <f t="shared" si="85"/>
        <v>1.5707963267948966</v>
      </c>
      <c r="AW43" s="32" t="str">
        <f t="shared" si="60"/>
        <v>1+0.000903975464679052i</v>
      </c>
      <c r="AX43" s="32">
        <f t="shared" si="86"/>
        <v>1.000000408585737</v>
      </c>
      <c r="AY43" s="32">
        <f t="shared" si="87"/>
        <v>9.0397521844480153E-4</v>
      </c>
      <c r="AZ43" s="32" t="str">
        <f t="shared" si="61"/>
        <v>1+0.017175533828902i</v>
      </c>
      <c r="BA43" s="32">
        <f t="shared" si="88"/>
        <v>1.0001474886047097</v>
      </c>
      <c r="BB43" s="32">
        <f t="shared" si="89"/>
        <v>1.7173845206224884E-2</v>
      </c>
      <c r="BC43" s="60" t="str">
        <f t="shared" si="90"/>
        <v>-0.654303904210666+40.2121326339979i</v>
      </c>
      <c r="BD43" s="51">
        <f t="shared" si="91"/>
        <v>32.088291792743114</v>
      </c>
      <c r="BE43" s="63">
        <f t="shared" si="92"/>
        <v>90.93219488352635</v>
      </c>
      <c r="BF43" s="60" t="str">
        <f t="shared" si="93"/>
        <v>24.6169215990144+936.046293499672i</v>
      </c>
      <c r="BG43" s="66">
        <f t="shared" si="94"/>
        <v>59.428949224208154</v>
      </c>
      <c r="BH43" s="63">
        <f t="shared" si="95"/>
        <v>88.493535321084877</v>
      </c>
      <c r="BI43" s="60" t="e">
        <f t="shared" si="96"/>
        <v>#NUM!</v>
      </c>
      <c r="BJ43" s="66" t="e">
        <f t="shared" si="97"/>
        <v>#NUM!</v>
      </c>
      <c r="BK43" s="63" t="e">
        <f t="shared" si="98"/>
        <v>#NUM!</v>
      </c>
      <c r="BL43" s="51">
        <f t="shared" si="99"/>
        <v>59.428949224208154</v>
      </c>
      <c r="BM43" s="63">
        <f t="shared" si="100"/>
        <v>88.493535321084877</v>
      </c>
    </row>
    <row r="44" spans="1:65" s="32" customFormat="1" x14ac:dyDescent="0.3">
      <c r="A44" s="32" t="s">
        <v>209</v>
      </c>
      <c r="B44" s="1">
        <f>(Isl*(Rsl_int+R_sl)*Fsw)</f>
        <v>39990</v>
      </c>
      <c r="C44" s="32" t="s">
        <v>147</v>
      </c>
      <c r="E44" s="32" t="s">
        <v>210</v>
      </c>
      <c r="N44" s="11">
        <v>26</v>
      </c>
      <c r="O44" s="52">
        <f t="shared" si="62"/>
        <v>18.197008586099841</v>
      </c>
      <c r="P44" s="50" t="str">
        <f t="shared" si="50"/>
        <v>23.3035714285714</v>
      </c>
      <c r="Q44" s="18" t="str">
        <f t="shared" si="51"/>
        <v>1+0.043365699269906i</v>
      </c>
      <c r="R44" s="18">
        <f t="shared" si="63"/>
        <v>1.0009398502773121</v>
      </c>
      <c r="S44" s="18">
        <f t="shared" si="64"/>
        <v>4.3338545623920671E-2</v>
      </c>
      <c r="T44" s="18" t="str">
        <f t="shared" si="52"/>
        <v>1+0.000202373263259561i</v>
      </c>
      <c r="U44" s="18">
        <f t="shared" si="65"/>
        <v>1.0000000204774686</v>
      </c>
      <c r="V44" s="18">
        <f t="shared" si="66"/>
        <v>2.0237326049683295E-4</v>
      </c>
      <c r="W44" s="32" t="str">
        <f t="shared" si="53"/>
        <v>1-0.000279485988180185i</v>
      </c>
      <c r="X44" s="18">
        <f t="shared" si="67"/>
        <v>1.000000039056208</v>
      </c>
      <c r="Y44" s="18">
        <f t="shared" si="68"/>
        <v>-2.7948598090307659E-4</v>
      </c>
      <c r="Z44" s="32" t="str">
        <f t="shared" si="54"/>
        <v>0.999999998675476+0.000137170770205693i</v>
      </c>
      <c r="AA44" s="18">
        <f t="shared" si="69"/>
        <v>1.000000008083386</v>
      </c>
      <c r="AB44" s="18">
        <f t="shared" si="70"/>
        <v>1.3717076952705215E-4</v>
      </c>
      <c r="AC44" s="68" t="str">
        <f t="shared" si="71"/>
        <v>23.2596138880621-1.01366299183616i</v>
      </c>
      <c r="AD44" s="66">
        <f t="shared" si="72"/>
        <v>27.340290538270246</v>
      </c>
      <c r="AE44" s="63">
        <f t="shared" si="73"/>
        <v>-2.4953932940783305</v>
      </c>
      <c r="AF44" s="51" t="e">
        <f t="shared" si="74"/>
        <v>#NUM!</v>
      </c>
      <c r="AG44" s="51" t="str">
        <f t="shared" si="55"/>
        <v>1-0.0607119789778685i</v>
      </c>
      <c r="AH44" s="51">
        <f t="shared" si="75"/>
        <v>1.0018412770451262</v>
      </c>
      <c r="AI44" s="51">
        <f t="shared" si="76"/>
        <v>-6.0637549854157244E-2</v>
      </c>
      <c r="AJ44" s="51" t="str">
        <f t="shared" si="56"/>
        <v>1+0.000202373263259561i</v>
      </c>
      <c r="AK44" s="51">
        <f t="shared" si="77"/>
        <v>1.0000000204774686</v>
      </c>
      <c r="AL44" s="51">
        <f t="shared" si="78"/>
        <v>2.0237326049683295E-4</v>
      </c>
      <c r="AM44" s="51" t="e">
        <f t="shared" si="57"/>
        <v>#NUM!</v>
      </c>
      <c r="AN44" s="51" t="e">
        <f t="shared" si="79"/>
        <v>#NUM!</v>
      </c>
      <c r="AO44" s="51" t="e">
        <f t="shared" si="80"/>
        <v>#NUM!</v>
      </c>
      <c r="AP44" s="60" t="e">
        <f t="shared" si="81"/>
        <v>#NUM!</v>
      </c>
      <c r="AQ44" s="51" t="e">
        <f t="shared" si="82"/>
        <v>#NUM!</v>
      </c>
      <c r="AR44" s="63" t="e">
        <f t="shared" si="83"/>
        <v>#NUM!</v>
      </c>
      <c r="AS44" s="32" t="str">
        <f t="shared" si="58"/>
        <v>-0.000170731707317073</v>
      </c>
      <c r="AT44" s="32" t="str">
        <f t="shared" si="59"/>
        <v>4.34473672534653E-06i</v>
      </c>
      <c r="AU44" s="32">
        <f t="shared" si="84"/>
        <v>4.3447367253465299E-6</v>
      </c>
      <c r="AV44" s="32">
        <f t="shared" si="85"/>
        <v>1.5707963267948966</v>
      </c>
      <c r="AW44" s="32" t="str">
        <f t="shared" si="60"/>
        <v>1+0.000925031758199813i</v>
      </c>
      <c r="AX44" s="32">
        <f t="shared" si="86"/>
        <v>1.0000004278417853</v>
      </c>
      <c r="AY44" s="32">
        <f t="shared" si="87"/>
        <v>9.2503149435506609E-4</v>
      </c>
      <c r="AZ44" s="32" t="str">
        <f t="shared" si="61"/>
        <v>1+0.0175756034057965i</v>
      </c>
      <c r="BA44" s="32">
        <f t="shared" si="88"/>
        <v>1.0001544389918378</v>
      </c>
      <c r="BB44" s="32">
        <f t="shared" si="89"/>
        <v>1.7573794029088315E-2</v>
      </c>
      <c r="BC44" s="60" t="str">
        <f t="shared" si="90"/>
        <v>-0.654303879012063+39.2968199847535i</v>
      </c>
      <c r="BD44" s="51">
        <f t="shared" si="91"/>
        <v>31.888351986670411</v>
      </c>
      <c r="BE44" s="63">
        <f t="shared" si="92"/>
        <v>90.953903827355731</v>
      </c>
      <c r="BF44" s="60" t="str">
        <f t="shared" si="93"/>
        <v>24.6148765241103+914.692103501618i</v>
      </c>
      <c r="BG44" s="66">
        <f t="shared" si="94"/>
        <v>59.228642524940661</v>
      </c>
      <c r="BH44" s="63">
        <f t="shared" si="95"/>
        <v>88.458510533277419</v>
      </c>
      <c r="BI44" s="60" t="e">
        <f t="shared" si="96"/>
        <v>#NUM!</v>
      </c>
      <c r="BJ44" s="66" t="e">
        <f t="shared" si="97"/>
        <v>#NUM!</v>
      </c>
      <c r="BK44" s="63" t="e">
        <f t="shared" si="98"/>
        <v>#NUM!</v>
      </c>
      <c r="BL44" s="51">
        <f t="shared" si="99"/>
        <v>59.228642524940661</v>
      </c>
      <c r="BM44" s="63">
        <f t="shared" si="100"/>
        <v>88.458510533277419</v>
      </c>
    </row>
    <row r="45" spans="1:65" x14ac:dyDescent="0.3">
      <c r="A45" s="32" t="s">
        <v>212</v>
      </c>
      <c r="B45" s="1">
        <f>(R_cs*VIN_var*Acs)/Lm</f>
        <v>21818.181818181823</v>
      </c>
      <c r="C45" s="32" t="s">
        <v>147</v>
      </c>
      <c r="D45" s="32"/>
      <c r="E45" s="32" t="s">
        <v>211</v>
      </c>
      <c r="F45" s="32"/>
      <c r="G45" s="32"/>
      <c r="N45" s="11">
        <v>27</v>
      </c>
      <c r="O45" s="52">
        <f t="shared" si="62"/>
        <v>18.62087136662868</v>
      </c>
      <c r="P45" s="50" t="str">
        <f t="shared" si="50"/>
        <v>23.3035714285714</v>
      </c>
      <c r="Q45" s="18" t="str">
        <f t="shared" si="51"/>
        <v>1+0.0443758161682494i</v>
      </c>
      <c r="R45" s="18">
        <f t="shared" si="63"/>
        <v>1.0009841222819662</v>
      </c>
      <c r="S45" s="18">
        <f t="shared" si="64"/>
        <v>4.4346722057098657E-2</v>
      </c>
      <c r="T45" s="18" t="str">
        <f t="shared" si="52"/>
        <v>1+0.000207087142118497i</v>
      </c>
      <c r="U45" s="18">
        <f t="shared" si="65"/>
        <v>1.000000021442542</v>
      </c>
      <c r="V45" s="18">
        <f t="shared" si="66"/>
        <v>2.0708713915818053E-4</v>
      </c>
      <c r="W45" s="32" t="str">
        <f t="shared" si="53"/>
        <v>1-0.000285996053145445i</v>
      </c>
      <c r="X45" s="18">
        <f t="shared" si="67"/>
        <v>1.0000000408968703</v>
      </c>
      <c r="Y45" s="18">
        <f t="shared" si="68"/>
        <v>-2.859960453478829E-4</v>
      </c>
      <c r="Z45" s="32" t="str">
        <f t="shared" si="54"/>
        <v>0.999999998613053+0.000140365887897239i</v>
      </c>
      <c r="AA45" s="18">
        <f t="shared" si="69"/>
        <v>1.0000000084643441</v>
      </c>
      <c r="AB45" s="18">
        <f t="shared" si="70"/>
        <v>1.4036588717006223E-4</v>
      </c>
      <c r="AC45" s="68" t="str">
        <f t="shared" si="71"/>
        <v>23.2575463045143-1.03718248537757i</v>
      </c>
      <c r="AD45" s="66">
        <f t="shared" si="72"/>
        <v>27.339906387153409</v>
      </c>
      <c r="AE45" s="63">
        <f t="shared" si="73"/>
        <v>-2.5534435293245963</v>
      </c>
      <c r="AF45" s="51" t="e">
        <f t="shared" si="74"/>
        <v>#NUM!</v>
      </c>
      <c r="AG45" s="51" t="str">
        <f t="shared" si="55"/>
        <v>1-0.0621261426355493i</v>
      </c>
      <c r="AH45" s="51">
        <f t="shared" si="75"/>
        <v>1.0019279702647155</v>
      </c>
      <c r="AI45" s="51">
        <f t="shared" si="76"/>
        <v>-6.2046398678703527E-2</v>
      </c>
      <c r="AJ45" s="51" t="str">
        <f t="shared" si="56"/>
        <v>1+0.000207087142118497i</v>
      </c>
      <c r="AK45" s="51">
        <f t="shared" si="77"/>
        <v>1.000000021442542</v>
      </c>
      <c r="AL45" s="51">
        <f t="shared" si="78"/>
        <v>2.0708713915818053E-4</v>
      </c>
      <c r="AM45" s="51" t="e">
        <f t="shared" si="57"/>
        <v>#NUM!</v>
      </c>
      <c r="AN45" s="51" t="e">
        <f t="shared" si="79"/>
        <v>#NUM!</v>
      </c>
      <c r="AO45" s="51" t="e">
        <f t="shared" si="80"/>
        <v>#NUM!</v>
      </c>
      <c r="AP45" s="60" t="e">
        <f t="shared" si="81"/>
        <v>#NUM!</v>
      </c>
      <c r="AQ45" s="51" t="e">
        <f t="shared" si="82"/>
        <v>#NUM!</v>
      </c>
      <c r="AR45" s="63" t="e">
        <f t="shared" si="83"/>
        <v>#NUM!</v>
      </c>
      <c r="AS45" s="32" t="str">
        <f t="shared" si="58"/>
        <v>-0.000170731707317073</v>
      </c>
      <c r="AT45" s="32" t="str">
        <f t="shared" si="59"/>
        <v>4.44593864435193E-06i</v>
      </c>
      <c r="AU45" s="32">
        <f t="shared" si="84"/>
        <v>4.4459386443519304E-6</v>
      </c>
      <c r="AV45" s="32">
        <f t="shared" si="85"/>
        <v>1.5707963267948966</v>
      </c>
      <c r="AW45" s="32" t="str">
        <f t="shared" si="60"/>
        <v>1+0.000946578515803013i</v>
      </c>
      <c r="AX45" s="32">
        <f t="shared" si="86"/>
        <v>1.000000448005343</v>
      </c>
      <c r="AY45" s="32">
        <f t="shared" si="87"/>
        <v>9.4657823308828002E-4</v>
      </c>
      <c r="AZ45" s="32" t="str">
        <f t="shared" si="61"/>
        <v>1+0.0179849918002573i</v>
      </c>
      <c r="BA45" s="32">
        <f t="shared" si="88"/>
        <v>1.0001617168888515</v>
      </c>
      <c r="BB45" s="32">
        <f t="shared" si="89"/>
        <v>1.7983053035114511E-2</v>
      </c>
      <c r="BC45" s="60" t="str">
        <f t="shared" si="90"/>
        <v>-0.654303852625887+38.402343029618i</v>
      </c>
      <c r="BD45" s="51">
        <f t="shared" si="91"/>
        <v>31.688415016551016</v>
      </c>
      <c r="BE45" s="63">
        <f t="shared" si="92"/>
        <v>90.976118103937068</v>
      </c>
      <c r="BF45" s="60" t="str">
        <f t="shared" si="93"/>
        <v>24.6127354381125+893.822903709241i</v>
      </c>
      <c r="BG45" s="66">
        <f t="shared" si="94"/>
        <v>59.028321403704425</v>
      </c>
      <c r="BH45" s="63">
        <f t="shared" si="95"/>
        <v>88.422674574612486</v>
      </c>
      <c r="BI45" s="60" t="e">
        <f t="shared" si="96"/>
        <v>#NUM!</v>
      </c>
      <c r="BJ45" s="66" t="e">
        <f t="shared" si="97"/>
        <v>#NUM!</v>
      </c>
      <c r="BK45" s="63" t="e">
        <f t="shared" si="98"/>
        <v>#NUM!</v>
      </c>
      <c r="BL45" s="51">
        <f t="shared" si="99"/>
        <v>59.028321403704425</v>
      </c>
      <c r="BM45" s="63">
        <f t="shared" si="100"/>
        <v>88.422674574612486</v>
      </c>
    </row>
    <row r="46" spans="1:65" x14ac:dyDescent="0.3">
      <c r="B46" s="1"/>
      <c r="K46" s="32"/>
      <c r="N46" s="11">
        <v>28</v>
      </c>
      <c r="O46" s="52">
        <f t="shared" si="62"/>
        <v>19.054607179632477</v>
      </c>
      <c r="P46" s="50" t="str">
        <f t="shared" si="50"/>
        <v>23.3035714285714</v>
      </c>
      <c r="Q46" s="18" t="str">
        <f t="shared" si="51"/>
        <v>1+0.0454094617117086i</v>
      </c>
      <c r="R46" s="18">
        <f t="shared" si="63"/>
        <v>1.0010304786633357</v>
      </c>
      <c r="S46" s="18">
        <f t="shared" si="64"/>
        <v>4.5378288542933361E-2</v>
      </c>
      <c r="T46" s="18" t="str">
        <f t="shared" si="52"/>
        <v>1+0.000211910821321307i</v>
      </c>
      <c r="U46" s="18">
        <f t="shared" si="65"/>
        <v>1.0000000224530978</v>
      </c>
      <c r="V46" s="18">
        <f t="shared" si="66"/>
        <v>2.1191081814927077E-4</v>
      </c>
      <c r="W46" s="32" t="str">
        <f t="shared" si="53"/>
        <v>1-0.000292657757003688i</v>
      </c>
      <c r="X46" s="18">
        <f t="shared" si="67"/>
        <v>1.0000000428242803</v>
      </c>
      <c r="Y46" s="18">
        <f t="shared" si="68"/>
        <v>-2.926577486484497E-4</v>
      </c>
      <c r="Z46" s="32" t="str">
        <f t="shared" si="54"/>
        <v>0.999999998547688+0.000143635429440511i</v>
      </c>
      <c r="AA46" s="18">
        <f t="shared" si="69"/>
        <v>1.0000000088632561</v>
      </c>
      <c r="AB46" s="18">
        <f t="shared" si="70"/>
        <v>1.4363542866132706E-4</v>
      </c>
      <c r="AC46" s="68" t="str">
        <f t="shared" si="71"/>
        <v>23.2553816707597-1.06124327415465i</v>
      </c>
      <c r="AD46" s="66">
        <f t="shared" si="72"/>
        <v>27.339504167972436</v>
      </c>
      <c r="AE46" s="63">
        <f t="shared" si="73"/>
        <v>-2.6128405772140297</v>
      </c>
      <c r="AF46" s="51" t="e">
        <f t="shared" si="74"/>
        <v>#NUM!</v>
      </c>
      <c r="AG46" s="51" t="str">
        <f t="shared" si="55"/>
        <v>1-0.0635732463963922i</v>
      </c>
      <c r="AH46" s="51">
        <f t="shared" si="75"/>
        <v>1.0020187411707311</v>
      </c>
      <c r="AI46" s="51">
        <f t="shared" si="76"/>
        <v>-6.3487808501940635E-2</v>
      </c>
      <c r="AJ46" s="51" t="str">
        <f t="shared" si="56"/>
        <v>1+0.000211910821321307i</v>
      </c>
      <c r="AK46" s="51">
        <f t="shared" si="77"/>
        <v>1.0000000224530978</v>
      </c>
      <c r="AL46" s="51">
        <f t="shared" si="78"/>
        <v>2.1191081814927077E-4</v>
      </c>
      <c r="AM46" s="51" t="e">
        <f t="shared" si="57"/>
        <v>#NUM!</v>
      </c>
      <c r="AN46" s="51" t="e">
        <f t="shared" si="79"/>
        <v>#NUM!</v>
      </c>
      <c r="AO46" s="51" t="e">
        <f t="shared" si="80"/>
        <v>#NUM!</v>
      </c>
      <c r="AP46" s="60" t="e">
        <f t="shared" si="81"/>
        <v>#NUM!</v>
      </c>
      <c r="AQ46" s="51" t="e">
        <f t="shared" si="82"/>
        <v>#NUM!</v>
      </c>
      <c r="AR46" s="63" t="e">
        <f t="shared" si="83"/>
        <v>#NUM!</v>
      </c>
      <c r="AS46" s="32" t="str">
        <f t="shared" si="58"/>
        <v>-0.000170731707317073</v>
      </c>
      <c r="AT46" s="32" t="str">
        <f t="shared" si="59"/>
        <v>4.54949785887553E-06i</v>
      </c>
      <c r="AU46" s="32">
        <f t="shared" si="84"/>
        <v>4.5494978588755304E-6</v>
      </c>
      <c r="AV46" s="32">
        <f t="shared" si="85"/>
        <v>1.5707963267948966</v>
      </c>
      <c r="AW46" s="32" t="str">
        <f t="shared" si="60"/>
        <v>1+0.00096862716186474i</v>
      </c>
      <c r="AX46" s="32">
        <f t="shared" si="86"/>
        <v>1.0000004691191793</v>
      </c>
      <c r="AY46" s="32">
        <f t="shared" si="87"/>
        <v>9.6862685893045334E-4</v>
      </c>
      <c r="AZ46" s="32" t="str">
        <f t="shared" si="61"/>
        <v>1+0.0184039160754301i</v>
      </c>
      <c r="BA46" s="32">
        <f t="shared" si="88"/>
        <v>1.0001693377258229</v>
      </c>
      <c r="BB46" s="32">
        <f t="shared" si="89"/>
        <v>1.8401838670147178E-2</v>
      </c>
      <c r="BC46" s="60" t="str">
        <f t="shared" si="90"/>
        <v>-0.65430382499617+37.5282275050695i</v>
      </c>
      <c r="BD46" s="51">
        <f t="shared" si="91"/>
        <v>31.488481015952484</v>
      </c>
      <c r="BE46" s="63">
        <f t="shared" si="92"/>
        <v>90.998849460140335</v>
      </c>
      <c r="BF46" s="60" t="str">
        <f t="shared" si="93"/>
        <v>24.6104938517767+873.427629591024i</v>
      </c>
      <c r="BG46" s="66">
        <f t="shared" si="94"/>
        <v>58.827985183924916</v>
      </c>
      <c r="BH46" s="63">
        <f t="shared" si="95"/>
        <v>88.386008882926305</v>
      </c>
      <c r="BI46" s="60" t="e">
        <f t="shared" si="96"/>
        <v>#NUM!</v>
      </c>
      <c r="BJ46" s="66" t="e">
        <f t="shared" si="97"/>
        <v>#NUM!</v>
      </c>
      <c r="BK46" s="63" t="e">
        <f t="shared" si="98"/>
        <v>#NUM!</v>
      </c>
      <c r="BL46" s="51">
        <f t="shared" si="99"/>
        <v>58.827985183924916</v>
      </c>
      <c r="BM46" s="63">
        <f t="shared" si="100"/>
        <v>88.386008882926305</v>
      </c>
    </row>
    <row r="47" spans="1:65" x14ac:dyDescent="0.3">
      <c r="A47" t="s">
        <v>207</v>
      </c>
      <c r="B47" s="1">
        <f>2*PI()*Fsw</f>
        <v>6283185.307179586</v>
      </c>
      <c r="C47" t="s">
        <v>213</v>
      </c>
      <c r="N47" s="11">
        <v>29</v>
      </c>
      <c r="O47" s="52">
        <f t="shared" si="62"/>
        <v>19.498445997580465</v>
      </c>
      <c r="P47" s="50" t="str">
        <f t="shared" si="50"/>
        <v>23.3035714285714</v>
      </c>
      <c r="Q47" s="18" t="str">
        <f t="shared" si="51"/>
        <v>1+0.0464671839528327i</v>
      </c>
      <c r="R47" s="18">
        <f t="shared" si="63"/>
        <v>1.0010790174529214</v>
      </c>
      <c r="S47" s="18">
        <f t="shared" si="64"/>
        <v>4.6433783244869686E-2</v>
      </c>
      <c r="T47" s="18" t="str">
        <f t="shared" si="52"/>
        <v>1+0.000216846858446553i</v>
      </c>
      <c r="U47" s="18">
        <f t="shared" si="65"/>
        <v>1.0000000235112798</v>
      </c>
      <c r="V47" s="18">
        <f t="shared" si="66"/>
        <v>2.1684685504765494E-4</v>
      </c>
      <c r="W47" s="32" t="str">
        <f t="shared" si="53"/>
        <v>1-0.000299474631878478i</v>
      </c>
      <c r="X47" s="18">
        <f t="shared" si="67"/>
        <v>1.0000000448425266</v>
      </c>
      <c r="Y47" s="18">
        <f t="shared" si="68"/>
        <v>-2.9947462292567885E-4</v>
      </c>
      <c r="Z47" s="32" t="str">
        <f t="shared" si="54"/>
        <v>0.999999998479242+0.000146981128389712i</v>
      </c>
      <c r="AA47" s="18">
        <f t="shared" si="69"/>
        <v>1.000000009280968</v>
      </c>
      <c r="AB47" s="18">
        <f t="shared" si="70"/>
        <v>1.4698112755480149E-4</v>
      </c>
      <c r="AC47" s="68" t="str">
        <f t="shared" si="71"/>
        <v>23.2531154506635-1.08585750068686i</v>
      </c>
      <c r="AD47" s="66">
        <f t="shared" si="72"/>
        <v>27.339083032712136</v>
      </c>
      <c r="AE47" s="63">
        <f t="shared" si="73"/>
        <v>-2.6736154274032771</v>
      </c>
      <c r="AF47" s="51" t="e">
        <f t="shared" si="74"/>
        <v>#NUM!</v>
      </c>
      <c r="AG47" s="51" t="str">
        <f t="shared" si="55"/>
        <v>1-0.065054057533966i</v>
      </c>
      <c r="AH47" s="51">
        <f t="shared" si="75"/>
        <v>1.0021137811654086</v>
      </c>
      <c r="AI47" s="51">
        <f t="shared" si="76"/>
        <v>-6.4962519606818883E-2</v>
      </c>
      <c r="AJ47" s="51" t="str">
        <f t="shared" si="56"/>
        <v>1+0.000216846858446553i</v>
      </c>
      <c r="AK47" s="51">
        <f t="shared" si="77"/>
        <v>1.0000000235112798</v>
      </c>
      <c r="AL47" s="51">
        <f t="shared" si="78"/>
        <v>2.1684685504765494E-4</v>
      </c>
      <c r="AM47" s="51" t="e">
        <f t="shared" si="57"/>
        <v>#NUM!</v>
      </c>
      <c r="AN47" s="51" t="e">
        <f t="shared" si="79"/>
        <v>#NUM!</v>
      </c>
      <c r="AO47" s="51" t="e">
        <f t="shared" si="80"/>
        <v>#NUM!</v>
      </c>
      <c r="AP47" s="60" t="e">
        <f t="shared" si="81"/>
        <v>#NUM!</v>
      </c>
      <c r="AQ47" s="51" t="e">
        <f t="shared" si="82"/>
        <v>#NUM!</v>
      </c>
      <c r="AR47" s="63" t="e">
        <f t="shared" si="83"/>
        <v>#NUM!</v>
      </c>
      <c r="AS47" s="32" t="str">
        <f t="shared" si="58"/>
        <v>-0.000170731707317073</v>
      </c>
      <c r="AT47" s="32" t="str">
        <f t="shared" si="59"/>
        <v>4.65546927738362E-06i</v>
      </c>
      <c r="AU47" s="32">
        <f t="shared" si="84"/>
        <v>4.6554692773836204E-6</v>
      </c>
      <c r="AV47" s="32">
        <f t="shared" si="85"/>
        <v>1.5707963267948966</v>
      </c>
      <c r="AW47" s="32" t="str">
        <f t="shared" si="60"/>
        <v>1+0.000991189386868987i</v>
      </c>
      <c r="AX47" s="32">
        <f t="shared" si="86"/>
        <v>1.0000004912280798</v>
      </c>
      <c r="AY47" s="32">
        <f t="shared" si="87"/>
        <v>9.9118906226905901E-4</v>
      </c>
      <c r="AZ47" s="32" t="str">
        <f t="shared" si="61"/>
        <v>1+0.0188325983505108i</v>
      </c>
      <c r="BA47" s="32">
        <f t="shared" si="88"/>
        <v>1.0001773176595397</v>
      </c>
      <c r="BB47" s="32">
        <f t="shared" si="89"/>
        <v>1.8830372391958623E-2</v>
      </c>
      <c r="BC47" s="60" t="str">
        <f t="shared" si="90"/>
        <v>-0.654303796064311+36.6740099434865i</v>
      </c>
      <c r="BD47" s="51">
        <f t="shared" si="91"/>
        <v>31.288550124728953</v>
      </c>
      <c r="BE47" s="63">
        <f t="shared" si="92"/>
        <v>91.02210991475134</v>
      </c>
      <c r="BF47" s="60" t="str">
        <f t="shared" si="93"/>
        <v>24.6081470677085+853.495467939357i</v>
      </c>
      <c r="BG47" s="66">
        <f t="shared" si="94"/>
        <v>58.627633157441082</v>
      </c>
      <c r="BH47" s="63">
        <f t="shared" si="95"/>
        <v>88.348494487348077</v>
      </c>
      <c r="BI47" s="60" t="e">
        <f t="shared" si="96"/>
        <v>#NUM!</v>
      </c>
      <c r="BJ47" s="66" t="e">
        <f t="shared" si="97"/>
        <v>#NUM!</v>
      </c>
      <c r="BK47" s="63" t="e">
        <f t="shared" si="98"/>
        <v>#NUM!</v>
      </c>
      <c r="BL47" s="51">
        <f t="shared" si="99"/>
        <v>58.627633157441082</v>
      </c>
      <c r="BM47" s="63">
        <f t="shared" si="100"/>
        <v>88.348494487348077</v>
      </c>
    </row>
    <row r="48" spans="1:65" x14ac:dyDescent="0.3">
      <c r="A48" t="s">
        <v>208</v>
      </c>
      <c r="B48" s="1">
        <f>1/(PI()*(((1-DC_VIN_Var)*(1+(B44/B45)))-0.5))</f>
        <v>0.26531904076666801</v>
      </c>
      <c r="K48" s="32"/>
      <c r="N48" s="11">
        <v>30</v>
      </c>
      <c r="O48" s="52">
        <f t="shared" si="62"/>
        <v>19.952623149688804</v>
      </c>
      <c r="P48" s="50" t="str">
        <f t="shared" si="50"/>
        <v>23.3035714285714</v>
      </c>
      <c r="Q48" s="18" t="str">
        <f t="shared" si="51"/>
        <v>1+0.0475495437099545i</v>
      </c>
      <c r="R48" s="18">
        <f t="shared" si="63"/>
        <v>1.0011298412828502</v>
      </c>
      <c r="S48" s="18">
        <f t="shared" si="64"/>
        <v>4.7513756387665723E-2</v>
      </c>
      <c r="T48" s="18" t="str">
        <f t="shared" si="52"/>
        <v>1+0.000221897870646454i</v>
      </c>
      <c r="U48" s="18">
        <f t="shared" si="65"/>
        <v>1.0000000246193321</v>
      </c>
      <c r="V48" s="18">
        <f t="shared" si="66"/>
        <v>2.2189786700446915E-4</v>
      </c>
      <c r="W48" s="32" t="str">
        <f t="shared" si="53"/>
        <v>1-0.000306450292167106i</v>
      </c>
      <c r="X48" s="18">
        <f t="shared" si="67"/>
        <v>1.0000000469558896</v>
      </c>
      <c r="Y48" s="18">
        <f t="shared" si="68"/>
        <v>-3.0645028257400889E-4</v>
      </c>
      <c r="Z48" s="32" t="str">
        <f t="shared" si="54"/>
        <v>0.999999998407571+0.00015040475867871i</v>
      </c>
      <c r="AA48" s="18">
        <f t="shared" si="69"/>
        <v>1.0000000097183666</v>
      </c>
      <c r="AB48" s="18">
        <f t="shared" si="70"/>
        <v>1.5040475778408725E-4</v>
      </c>
      <c r="AC48" s="68" t="str">
        <f t="shared" si="71"/>
        <v>23.2507428979287-1.11103755727418i</v>
      </c>
      <c r="AD48" s="66">
        <f t="shared" si="72"/>
        <v>27.338642093728645</v>
      </c>
      <c r="AE48" s="63">
        <f t="shared" si="73"/>
        <v>-2.7357997642254737</v>
      </c>
      <c r="AF48" s="51" t="e">
        <f t="shared" si="74"/>
        <v>#NUM!</v>
      </c>
      <c r="AG48" s="51" t="str">
        <f t="shared" si="55"/>
        <v>1-0.0665693611939365i</v>
      </c>
      <c r="AH48" s="51">
        <f t="shared" si="75"/>
        <v>1.0022132905972505</v>
      </c>
      <c r="AI48" s="51">
        <f t="shared" si="76"/>
        <v>-6.6471288232931747E-2</v>
      </c>
      <c r="AJ48" s="51" t="str">
        <f t="shared" si="56"/>
        <v>1+0.000221897870646454i</v>
      </c>
      <c r="AK48" s="51">
        <f t="shared" si="77"/>
        <v>1.0000000246193321</v>
      </c>
      <c r="AL48" s="51">
        <f t="shared" si="78"/>
        <v>2.2189786700446915E-4</v>
      </c>
      <c r="AM48" s="51" t="e">
        <f t="shared" si="57"/>
        <v>#NUM!</v>
      </c>
      <c r="AN48" s="51" t="e">
        <f t="shared" si="79"/>
        <v>#NUM!</v>
      </c>
      <c r="AO48" s="51" t="e">
        <f t="shared" si="80"/>
        <v>#NUM!</v>
      </c>
      <c r="AP48" s="60" t="e">
        <f t="shared" si="81"/>
        <v>#NUM!</v>
      </c>
      <c r="AQ48" s="51" t="e">
        <f t="shared" si="82"/>
        <v>#NUM!</v>
      </c>
      <c r="AR48" s="63" t="e">
        <f t="shared" si="83"/>
        <v>#NUM!</v>
      </c>
      <c r="AS48" s="32" t="str">
        <f t="shared" si="58"/>
        <v>-0.000170731707317073</v>
      </c>
      <c r="AT48" s="32" t="str">
        <f t="shared" si="59"/>
        <v>4.76390908732501E-06i</v>
      </c>
      <c r="AU48" s="32">
        <f t="shared" si="84"/>
        <v>4.7639090873250098E-6</v>
      </c>
      <c r="AV48" s="32">
        <f t="shared" si="85"/>
        <v>1.5707963267948966</v>
      </c>
      <c r="AW48" s="32" t="str">
        <f t="shared" si="60"/>
        <v>1+0.00101427715360609i</v>
      </c>
      <c r="AX48" s="32">
        <f t="shared" si="86"/>
        <v>1.0000005143789399</v>
      </c>
      <c r="AY48" s="32">
        <f t="shared" si="87"/>
        <v>1.0142768057910105E-3</v>
      </c>
      <c r="AZ48" s="32" t="str">
        <f t="shared" si="61"/>
        <v>1+0.0192712659185158i</v>
      </c>
      <c r="BA48" s="32">
        <f t="shared" si="88"/>
        <v>1.0001856736077068</v>
      </c>
      <c r="BB48" s="32">
        <f t="shared" si="89"/>
        <v>1.9268880784867819E-2</v>
      </c>
      <c r="BC48" s="60" t="str">
        <f t="shared" si="90"/>
        <v>-0.654303765768936+35.8392374274106i</v>
      </c>
      <c r="BD48" s="51">
        <f t="shared" si="91"/>
        <v>31.088622489316467</v>
      </c>
      <c r="BE48" s="63">
        <f t="shared" si="92"/>
        <v>91.045911764683822</v>
      </c>
      <c r="BF48" s="60" t="str">
        <f t="shared" si="93"/>
        <v>24.6056901708796+834.015851140183i</v>
      </c>
      <c r="BG48" s="66">
        <f t="shared" si="94"/>
        <v>58.427264583045115</v>
      </c>
      <c r="BH48" s="63">
        <f t="shared" si="95"/>
        <v>88.310112000458346</v>
      </c>
      <c r="BI48" s="60" t="e">
        <f t="shared" si="96"/>
        <v>#NUM!</v>
      </c>
      <c r="BJ48" s="66" t="e">
        <f t="shared" si="97"/>
        <v>#NUM!</v>
      </c>
      <c r="BK48" s="63" t="e">
        <f t="shared" si="98"/>
        <v>#NUM!</v>
      </c>
      <c r="BL48" s="51">
        <f t="shared" si="99"/>
        <v>58.427264583045115</v>
      </c>
      <c r="BM48" s="63">
        <f t="shared" si="100"/>
        <v>88.310112000458346</v>
      </c>
    </row>
    <row r="49" spans="1:65" x14ac:dyDescent="0.3">
      <c r="K49" s="32"/>
      <c r="N49" s="11">
        <v>31</v>
      </c>
      <c r="O49" s="52">
        <f t="shared" si="62"/>
        <v>20.4173794466953</v>
      </c>
      <c r="P49" s="50" t="str">
        <f t="shared" si="50"/>
        <v>23.3035714285714</v>
      </c>
      <c r="Q49" s="18" t="str">
        <f t="shared" si="51"/>
        <v>1+0.0486571148645437i</v>
      </c>
      <c r="R49" s="18">
        <f t="shared" si="63"/>
        <v>1.0011830576008272</v>
      </c>
      <c r="S49" s="18">
        <f t="shared" si="64"/>
        <v>4.861877050470207E-2</v>
      </c>
      <c r="T49" s="18" t="str">
        <f t="shared" si="52"/>
        <v>1+0.000227066536034537i</v>
      </c>
      <c r="U49" s="18">
        <f t="shared" si="65"/>
        <v>1.0000000257796056</v>
      </c>
      <c r="V49" s="18">
        <f t="shared" si="66"/>
        <v>2.2706653213207993E-4</v>
      </c>
      <c r="W49" s="32" t="str">
        <f t="shared" si="53"/>
        <v>1-0.000313588436456988i</v>
      </c>
      <c r="X49" s="18">
        <f t="shared" si="67"/>
        <v>1.0000000491688525</v>
      </c>
      <c r="Y49" s="18">
        <f t="shared" si="68"/>
        <v>-3.1358842617779933E-4</v>
      </c>
      <c r="Z49" s="32" t="str">
        <f t="shared" si="54"/>
        <v>0.999999998332523+0.000153908135561602i</v>
      </c>
      <c r="AA49" s="18">
        <f t="shared" si="69"/>
        <v>1.00000001017638</v>
      </c>
      <c r="AB49" s="18">
        <f t="shared" si="70"/>
        <v>1.539081346029963E-4</v>
      </c>
      <c r="AC49" s="68" t="str">
        <f t="shared" si="71"/>
        <v>23.2482590465385-1.13679608948321i</v>
      </c>
      <c r="AD49" s="66">
        <f t="shared" si="72"/>
        <v>27.338180421914334</v>
      </c>
      <c r="AE49" s="63">
        <f t="shared" si="73"/>
        <v>-2.7994259809443425</v>
      </c>
      <c r="AF49" s="51" t="e">
        <f t="shared" si="74"/>
        <v>#NUM!</v>
      </c>
      <c r="AG49" s="51" t="str">
        <f t="shared" si="55"/>
        <v>1-0.0681199608103613i</v>
      </c>
      <c r="AH49" s="51">
        <f t="shared" si="75"/>
        <v>1.002317479175538</v>
      </c>
      <c r="AI49" s="51">
        <f t="shared" si="76"/>
        <v>-6.8014886857623982E-2</v>
      </c>
      <c r="AJ49" s="51" t="str">
        <f t="shared" si="56"/>
        <v>1+0.000227066536034537i</v>
      </c>
      <c r="AK49" s="51">
        <f t="shared" si="77"/>
        <v>1.0000000257796056</v>
      </c>
      <c r="AL49" s="51">
        <f t="shared" si="78"/>
        <v>2.2706653213207993E-4</v>
      </c>
      <c r="AM49" s="51" t="e">
        <f t="shared" si="57"/>
        <v>#NUM!</v>
      </c>
      <c r="AN49" s="51" t="e">
        <f t="shared" si="79"/>
        <v>#NUM!</v>
      </c>
      <c r="AO49" s="51" t="e">
        <f t="shared" si="80"/>
        <v>#NUM!</v>
      </c>
      <c r="AP49" s="60" t="e">
        <f t="shared" si="81"/>
        <v>#NUM!</v>
      </c>
      <c r="AQ49" s="51" t="e">
        <f t="shared" si="82"/>
        <v>#NUM!</v>
      </c>
      <c r="AR49" s="63" t="e">
        <f t="shared" si="83"/>
        <v>#NUM!</v>
      </c>
      <c r="AS49" s="32" t="str">
        <f t="shared" si="58"/>
        <v>-0.000170731707317073</v>
      </c>
      <c r="AT49" s="32" t="str">
        <f t="shared" si="59"/>
        <v>4.87487478492228E-06i</v>
      </c>
      <c r="AU49" s="32">
        <f t="shared" si="84"/>
        <v>4.8748747849222797E-6</v>
      </c>
      <c r="AV49" s="32">
        <f t="shared" si="85"/>
        <v>1.5707963267948966</v>
      </c>
      <c r="AW49" s="32" t="str">
        <f t="shared" si="60"/>
        <v>1+0.00103790270351558i</v>
      </c>
      <c r="AX49" s="32">
        <f t="shared" si="86"/>
        <v>1.0000005386208659</v>
      </c>
      <c r="AY49" s="32">
        <f t="shared" si="87"/>
        <v>1.0379023308250187E-3</v>
      </c>
      <c r="AZ49" s="32" t="str">
        <f t="shared" si="61"/>
        <v>1+0.0197201513667961i</v>
      </c>
      <c r="BA49" s="32">
        <f t="shared" si="88"/>
        <v>1.0001944232847579</v>
      </c>
      <c r="BB49" s="32">
        <f t="shared" si="89"/>
        <v>1.9717595676877257E-2</v>
      </c>
      <c r="BC49" s="60" t="str">
        <f t="shared" si="90"/>
        <v>-0.654303734045784+35.0234673494042i</v>
      </c>
      <c r="BD49" s="51">
        <f t="shared" si="91"/>
        <v>30.888698263042404</v>
      </c>
      <c r="BE49" s="63">
        <f t="shared" si="92"/>
        <v>91.070267591327394</v>
      </c>
      <c r="BF49" s="60" t="str">
        <f t="shared" si="93"/>
        <v>24.6031180187318+814.97845157313i</v>
      </c>
      <c r="BG49" s="66">
        <f t="shared" si="94"/>
        <v>58.226878684956738</v>
      </c>
      <c r="BH49" s="63">
        <f t="shared" si="95"/>
        <v>88.270841610383059</v>
      </c>
      <c r="BI49" s="60" t="e">
        <f t="shared" si="96"/>
        <v>#NUM!</v>
      </c>
      <c r="BJ49" s="66" t="e">
        <f t="shared" si="97"/>
        <v>#NUM!</v>
      </c>
      <c r="BK49" s="63" t="e">
        <f t="shared" si="98"/>
        <v>#NUM!</v>
      </c>
      <c r="BL49" s="51">
        <f t="shared" si="99"/>
        <v>58.226878684956738</v>
      </c>
      <c r="BM49" s="63">
        <f t="shared" si="100"/>
        <v>88.270841610383059</v>
      </c>
    </row>
    <row r="50" spans="1:65" ht="15.6" x14ac:dyDescent="0.3">
      <c r="A50" s="53" t="s">
        <v>223</v>
      </c>
      <c r="N50" s="11">
        <v>32</v>
      </c>
      <c r="O50" s="52">
        <f t="shared" si="62"/>
        <v>20.8929613085404</v>
      </c>
      <c r="P50" s="50" t="str">
        <f t="shared" si="50"/>
        <v>23.3035714285714</v>
      </c>
      <c r="Q50" s="18" t="str">
        <f t="shared" si="51"/>
        <v>1+0.0497904846654876i</v>
      </c>
      <c r="R50" s="18">
        <f t="shared" si="63"/>
        <v>1.0012387788950365</v>
      </c>
      <c r="S50" s="18">
        <f t="shared" si="64"/>
        <v>4.9749400688680764E-2</v>
      </c>
      <c r="T50" s="18" t="str">
        <f t="shared" si="52"/>
        <v>1+0.000232355595105609i</v>
      </c>
      <c r="U50" s="18">
        <f t="shared" si="65"/>
        <v>1.0000000269945608</v>
      </c>
      <c r="V50" s="18">
        <f t="shared" si="66"/>
        <v>2.3235559092405091E-4</v>
      </c>
      <c r="W50" s="32" t="str">
        <f t="shared" si="53"/>
        <v>1-0.000320892849486716i</v>
      </c>
      <c r="X50" s="18">
        <f t="shared" si="67"/>
        <v>1.0000000514861092</v>
      </c>
      <c r="Y50" s="18">
        <f t="shared" si="68"/>
        <v>-3.2089283847236693E-4</v>
      </c>
      <c r="Z50" s="32" t="str">
        <f t="shared" si="54"/>
        <v>0.999999998253937+0.000157493116575184i</v>
      </c>
      <c r="AA50" s="18">
        <f t="shared" si="69"/>
        <v>1.0000000106559779</v>
      </c>
      <c r="AB50" s="18">
        <f t="shared" si="70"/>
        <v>1.5749311554801954E-4</v>
      </c>
      <c r="AC50" s="68" t="str">
        <f t="shared" si="71"/>
        <v>23.245658700781-1.16314599955143i</v>
      </c>
      <c r="AD50" s="66">
        <f t="shared" si="72"/>
        <v>27.337697044779169</v>
      </c>
      <c r="AE50" s="63">
        <f t="shared" si="73"/>
        <v>-2.8645271942041268</v>
      </c>
      <c r="AF50" s="51" t="e">
        <f t="shared" si="74"/>
        <v>#NUM!</v>
      </c>
      <c r="AG50" s="51" t="str">
        <f t="shared" si="55"/>
        <v>1-0.0697066785316827i</v>
      </c>
      <c r="AH50" s="51">
        <f t="shared" si="75"/>
        <v>1.0024265664037038</v>
      </c>
      <c r="AI50" s="51">
        <f t="shared" si="76"/>
        <v>-6.9594104477347471E-2</v>
      </c>
      <c r="AJ50" s="51" t="str">
        <f t="shared" si="56"/>
        <v>1+0.000232355595105609i</v>
      </c>
      <c r="AK50" s="51">
        <f t="shared" si="77"/>
        <v>1.0000000269945608</v>
      </c>
      <c r="AL50" s="51">
        <f t="shared" si="78"/>
        <v>2.3235559092405091E-4</v>
      </c>
      <c r="AM50" s="51" t="e">
        <f t="shared" si="57"/>
        <v>#NUM!</v>
      </c>
      <c r="AN50" s="51" t="e">
        <f t="shared" si="79"/>
        <v>#NUM!</v>
      </c>
      <c r="AO50" s="51" t="e">
        <f t="shared" si="80"/>
        <v>#NUM!</v>
      </c>
      <c r="AP50" s="60" t="e">
        <f t="shared" si="81"/>
        <v>#NUM!</v>
      </c>
      <c r="AQ50" s="51" t="e">
        <f t="shared" si="82"/>
        <v>#NUM!</v>
      </c>
      <c r="AR50" s="63" t="e">
        <f t="shared" si="83"/>
        <v>#NUM!</v>
      </c>
      <c r="AS50" s="32" t="str">
        <f t="shared" si="58"/>
        <v>-0.000170731707317073</v>
      </c>
      <c r="AT50" s="32" t="str">
        <f t="shared" si="59"/>
        <v>4.98842520565712E-06i</v>
      </c>
      <c r="AU50" s="32">
        <f t="shared" si="84"/>
        <v>4.9884252056571199E-6</v>
      </c>
      <c r="AV50" s="32">
        <f t="shared" si="85"/>
        <v>1.5707963267948966</v>
      </c>
      <c r="AW50" s="32" t="str">
        <f t="shared" si="60"/>
        <v>1+0.00106207856317675i</v>
      </c>
      <c r="AX50" s="32">
        <f t="shared" si="86"/>
        <v>1.000000564005278</v>
      </c>
      <c r="AY50" s="32">
        <f t="shared" si="87"/>
        <v>1.0620781638316307E-3</v>
      </c>
      <c r="AZ50" s="32" t="str">
        <f t="shared" si="61"/>
        <v>1+0.0201794927003583i</v>
      </c>
      <c r="BA50" s="32">
        <f t="shared" si="88"/>
        <v>1.0002035852393469</v>
      </c>
      <c r="BB50" s="32">
        <f t="shared" si="89"/>
        <v>2.0176754259375655E-2</v>
      </c>
      <c r="BC50" s="60" t="str">
        <f t="shared" si="90"/>
        <v>-0.654303700827576+34.2262671773739i</v>
      </c>
      <c r="BD50" s="51">
        <f t="shared" si="91"/>
        <v>30.688777606449218</v>
      </c>
      <c r="BE50" s="63">
        <f t="shared" si="92"/>
        <v>91.095190267034269</v>
      </c>
      <c r="BF50" s="60" t="str">
        <f t="shared" si="93"/>
        <v>24.6004252308451+796.373176139086i</v>
      </c>
      <c r="BG50" s="66">
        <f t="shared" si="94"/>
        <v>58.026474651228391</v>
      </c>
      <c r="BH50" s="63">
        <f t="shared" si="95"/>
        <v>88.230663072830154</v>
      </c>
      <c r="BI50" s="60" t="e">
        <f t="shared" ref="BI50:BI113" si="101">IMPRODUCT(AP50,BC50)</f>
        <v>#NUM!</v>
      </c>
      <c r="BJ50" s="66" t="e">
        <f t="shared" si="97"/>
        <v>#NUM!</v>
      </c>
      <c r="BK50" s="63" t="e">
        <f t="shared" ref="BK50:BK113" si="102">(180/PI())*IMARGUMENT(BI50)</f>
        <v>#NUM!</v>
      </c>
      <c r="BL50" s="51">
        <f t="shared" si="99"/>
        <v>58.026474651228391</v>
      </c>
      <c r="BM50" s="63">
        <f t="shared" si="100"/>
        <v>88.230663072830154</v>
      </c>
    </row>
    <row r="51" spans="1:65" x14ac:dyDescent="0.3">
      <c r="A51" t="s">
        <v>188</v>
      </c>
      <c r="N51" s="11">
        <v>33</v>
      </c>
      <c r="O51" s="52">
        <f t="shared" si="62"/>
        <v>21.379620895022335</v>
      </c>
      <c r="P51" s="50" t="str">
        <f t="shared" si="50"/>
        <v>23.3035714285714</v>
      </c>
      <c r="Q51" s="18" t="str">
        <f t="shared" si="51"/>
        <v>1+0.0509502540404556i</v>
      </c>
      <c r="R51" s="18">
        <f t="shared" si="63"/>
        <v>1.0012971229294465</v>
      </c>
      <c r="S51" s="18">
        <f t="shared" si="64"/>
        <v>5.0906234845622199E-2</v>
      </c>
      <c r="T51" s="18" t="str">
        <f t="shared" si="52"/>
        <v>1+0.000237767852188793i</v>
      </c>
      <c r="U51" s="18">
        <f t="shared" si="65"/>
        <v>1.0000000282667754</v>
      </c>
      <c r="V51" s="18">
        <f t="shared" si="66"/>
        <v>2.3776784770817278E-4</v>
      </c>
      <c r="W51" s="32" t="str">
        <f t="shared" si="53"/>
        <v>1-0.000328367404152759i</v>
      </c>
      <c r="X51" s="18">
        <f t="shared" si="67"/>
        <v>1.0000000539125746</v>
      </c>
      <c r="Y51" s="18">
        <f t="shared" si="68"/>
        <v>-3.283673923506713E-4</v>
      </c>
      <c r="Z51" s="32" t="str">
        <f t="shared" si="54"/>
        <v>0.999999998171647+0.000161161602523842i</v>
      </c>
      <c r="AA51" s="18">
        <f t="shared" si="69"/>
        <v>1.0000000111581779</v>
      </c>
      <c r="AB51" s="18">
        <f t="shared" si="70"/>
        <v>1.6116160142321553E-4</v>
      </c>
      <c r="AC51" s="68" t="str">
        <f t="shared" si="71"/>
        <v>23.2429364248396-1.19010044969672i</v>
      </c>
      <c r="AD51" s="66">
        <f t="shared" si="72"/>
        <v>27.337190944444952</v>
      </c>
      <c r="AE51" s="63">
        <f t="shared" si="73"/>
        <v>-2.9311372586709092</v>
      </c>
      <c r="AF51" s="51" t="e">
        <f t="shared" si="74"/>
        <v>#NUM!</v>
      </c>
      <c r="AG51" s="51" t="str">
        <f t="shared" si="55"/>
        <v>1-0.0713303556566381i</v>
      </c>
      <c r="AH51" s="51">
        <f t="shared" si="75"/>
        <v>1.0025407820323833</v>
      </c>
      <c r="AI51" s="51">
        <f t="shared" si="76"/>
        <v>-7.1209746888834483E-2</v>
      </c>
      <c r="AJ51" s="51" t="str">
        <f t="shared" si="56"/>
        <v>1+0.000237767852188793i</v>
      </c>
      <c r="AK51" s="51">
        <f t="shared" si="77"/>
        <v>1.0000000282667754</v>
      </c>
      <c r="AL51" s="51">
        <f t="shared" si="78"/>
        <v>2.3776784770817278E-4</v>
      </c>
      <c r="AM51" s="51" t="e">
        <f t="shared" si="57"/>
        <v>#NUM!</v>
      </c>
      <c r="AN51" s="51" t="e">
        <f t="shared" si="79"/>
        <v>#NUM!</v>
      </c>
      <c r="AO51" s="51" t="e">
        <f t="shared" si="80"/>
        <v>#NUM!</v>
      </c>
      <c r="AP51" s="60" t="e">
        <f t="shared" si="81"/>
        <v>#NUM!</v>
      </c>
      <c r="AQ51" s="51" t="e">
        <f t="shared" si="82"/>
        <v>#NUM!</v>
      </c>
      <c r="AR51" s="63" t="e">
        <f t="shared" si="83"/>
        <v>#NUM!</v>
      </c>
      <c r="AS51" s="32" t="str">
        <f t="shared" si="58"/>
        <v>-0.000170731707317073</v>
      </c>
      <c r="AT51" s="32" t="str">
        <f t="shared" si="59"/>
        <v>5.10462055546561E-06i</v>
      </c>
      <c r="AU51" s="32">
        <f t="shared" si="84"/>
        <v>5.1046205554656101E-6</v>
      </c>
      <c r="AV51" s="32">
        <f t="shared" si="85"/>
        <v>1.5707963267948966</v>
      </c>
      <c r="AW51" s="32" t="str">
        <f t="shared" si="60"/>
        <v>1+0.00108681755095038i</v>
      </c>
      <c r="AX51" s="32">
        <f t="shared" si="86"/>
        <v>1.0000005905860201</v>
      </c>
      <c r="AY51" s="32">
        <f t="shared" si="87"/>
        <v>1.086817123044389E-3</v>
      </c>
      <c r="AZ51" s="32" t="str">
        <f t="shared" si="61"/>
        <v>1+0.0206495334680572i</v>
      </c>
      <c r="BA51" s="32">
        <f t="shared" si="88"/>
        <v>1.0002131788936039</v>
      </c>
      <c r="BB51" s="32">
        <f t="shared" si="89"/>
        <v>2.0646599209453925E-2</v>
      </c>
      <c r="BC51" s="60" t="str">
        <f t="shared" si="90"/>
        <v>-0.654303666043839+33.4472142252358i</v>
      </c>
      <c r="BD51" s="51">
        <f t="shared" si="91"/>
        <v>30.488860687633306</v>
      </c>
      <c r="BE51" s="63">
        <f t="shared" si="92"/>
        <v>91.120692961746855</v>
      </c>
      <c r="BF51" s="60" t="str">
        <f t="shared" si="93"/>
        <v>24.5976061781592+778.190160912343i</v>
      </c>
      <c r="BG51" s="66">
        <f t="shared" si="94"/>
        <v>57.826051632078261</v>
      </c>
      <c r="BH51" s="63">
        <f t="shared" si="95"/>
        <v>88.189555703075953</v>
      </c>
      <c r="BI51" s="60" t="e">
        <f t="shared" si="101"/>
        <v>#NUM!</v>
      </c>
      <c r="BJ51" s="66" t="e">
        <f t="shared" si="97"/>
        <v>#NUM!</v>
      </c>
      <c r="BK51" s="63" t="e">
        <f t="shared" si="102"/>
        <v>#NUM!</v>
      </c>
      <c r="BL51" s="51">
        <f t="shared" si="99"/>
        <v>57.826051632078261</v>
      </c>
      <c r="BM51" s="63">
        <f t="shared" si="100"/>
        <v>88.189555703075953</v>
      </c>
    </row>
    <row r="52" spans="1:65" x14ac:dyDescent="0.3">
      <c r="A52" t="s">
        <v>186</v>
      </c>
      <c r="B52" s="3">
        <f>RFBT</f>
        <v>150000</v>
      </c>
      <c r="C52" s="2" t="s">
        <v>36</v>
      </c>
      <c r="E52" t="s">
        <v>189</v>
      </c>
      <c r="N52" s="11">
        <v>34</v>
      </c>
      <c r="O52" s="52">
        <f t="shared" si="62"/>
        <v>21.877616239495538</v>
      </c>
      <c r="P52" s="50" t="str">
        <f t="shared" si="50"/>
        <v>23.3035714285714</v>
      </c>
      <c r="Q52" s="18" t="str">
        <f t="shared" si="51"/>
        <v>1+0.0521370379145225i</v>
      </c>
      <c r="R52" s="18">
        <f t="shared" si="63"/>
        <v>1.0013582129899872</v>
      </c>
      <c r="S52" s="18">
        <f t="shared" si="64"/>
        <v>5.208987395206955E-2</v>
      </c>
      <c r="T52" s="18" t="str">
        <f t="shared" si="52"/>
        <v>1+0.000243306176934438i</v>
      </c>
      <c r="U52" s="18">
        <f t="shared" si="65"/>
        <v>1.0000000295989475</v>
      </c>
      <c r="V52" s="18">
        <f t="shared" si="66"/>
        <v>2.4330617213336696E-4</v>
      </c>
      <c r="W52" s="32" t="str">
        <f t="shared" si="53"/>
        <v>1-0.000336016063562941i</v>
      </c>
      <c r="X52" s="18">
        <f t="shared" si="67"/>
        <v>1.000000056453396</v>
      </c>
      <c r="Y52" s="18">
        <f t="shared" si="68"/>
        <v>-3.3601605091677624E-4</v>
      </c>
      <c r="Z52" s="32" t="str">
        <f t="shared" si="54"/>
        <v>0.99999999808548+0.000164915538487384i</v>
      </c>
      <c r="AA52" s="18">
        <f t="shared" si="69"/>
        <v>1.0000000116840473</v>
      </c>
      <c r="AB52" s="18">
        <f t="shared" si="70"/>
        <v>1.6491553730804142E-4</v>
      </c>
      <c r="AC52" s="68" t="str">
        <f t="shared" si="71"/>
        <v>23.2400865319327-1.21767286531793i</v>
      </c>
      <c r="AD52" s="66">
        <f t="shared" si="72"/>
        <v>27.336661055548809</v>
      </c>
      <c r="AE52" s="63">
        <f t="shared" si="73"/>
        <v>-2.9992907818593748</v>
      </c>
      <c r="AF52" s="51" t="e">
        <f t="shared" si="74"/>
        <v>#NUM!</v>
      </c>
      <c r="AG52" s="51" t="str">
        <f t="shared" si="55"/>
        <v>1-0.0729918530803317i</v>
      </c>
      <c r="AH52" s="51">
        <f t="shared" si="75"/>
        <v>1.0026603665330054</v>
      </c>
      <c r="AI52" s="51">
        <f t="shared" si="76"/>
        <v>-7.2862636969639391E-2</v>
      </c>
      <c r="AJ52" s="51" t="str">
        <f t="shared" si="56"/>
        <v>1+0.000243306176934438i</v>
      </c>
      <c r="AK52" s="51">
        <f t="shared" si="77"/>
        <v>1.0000000295989475</v>
      </c>
      <c r="AL52" s="51">
        <f t="shared" si="78"/>
        <v>2.4330617213336696E-4</v>
      </c>
      <c r="AM52" s="51" t="e">
        <f t="shared" si="57"/>
        <v>#NUM!</v>
      </c>
      <c r="AN52" s="51" t="e">
        <f t="shared" si="79"/>
        <v>#NUM!</v>
      </c>
      <c r="AO52" s="51" t="e">
        <f t="shared" si="80"/>
        <v>#NUM!</v>
      </c>
      <c r="AP52" s="60" t="e">
        <f t="shared" si="81"/>
        <v>#NUM!</v>
      </c>
      <c r="AQ52" s="51" t="e">
        <f t="shared" si="82"/>
        <v>#NUM!</v>
      </c>
      <c r="AR52" s="63" t="e">
        <f t="shared" si="83"/>
        <v>#NUM!</v>
      </c>
      <c r="AS52" s="32" t="str">
        <f t="shared" si="58"/>
        <v>-0.000170731707317073</v>
      </c>
      <c r="AT52" s="32" t="str">
        <f t="shared" si="59"/>
        <v>5.22352244266025E-06i</v>
      </c>
      <c r="AU52" s="32">
        <f t="shared" si="84"/>
        <v>5.2235224426602503E-6</v>
      </c>
      <c r="AV52" s="32">
        <f t="shared" si="85"/>
        <v>1.5707963267948966</v>
      </c>
      <c r="AW52" s="32" t="str">
        <f t="shared" si="60"/>
        <v>1+0.00111213278377525i</v>
      </c>
      <c r="AX52" s="32">
        <f t="shared" si="86"/>
        <v>1.0000006184194732</v>
      </c>
      <c r="AY52" s="32">
        <f t="shared" si="87"/>
        <v>1.112132325265735E-3</v>
      </c>
      <c r="AZ52" s="32" t="str">
        <f t="shared" si="61"/>
        <v>1+0.0211305228917299i</v>
      </c>
      <c r="BA52" s="32">
        <f t="shared" si="88"/>
        <v>1.0002232245842315</v>
      </c>
      <c r="BB52" s="32">
        <f t="shared" si="89"/>
        <v>2.1127378814886036E-2</v>
      </c>
      <c r="BC52" s="60" t="str">
        <f t="shared" si="90"/>
        <v>-0.654303629620804+32.6858954288026i</v>
      </c>
      <c r="BD52" s="51">
        <f t="shared" si="91"/>
        <v>30.288947682600075</v>
      </c>
      <c r="BE52" s="63">
        <f t="shared" si="92"/>
        <v>91.146789149769276</v>
      </c>
      <c r="BF52" s="60" t="str">
        <f t="shared" si="93"/>
        <v>24.5946549717272+760.419765914544i</v>
      </c>
      <c r="BG52" s="66">
        <f t="shared" si="94"/>
        <v>57.625608738148877</v>
      </c>
      <c r="BH52" s="63">
        <f t="shared" si="95"/>
        <v>88.147498367909904</v>
      </c>
      <c r="BI52" s="60" t="e">
        <f t="shared" si="101"/>
        <v>#NUM!</v>
      </c>
      <c r="BJ52" s="66" t="e">
        <f t="shared" si="97"/>
        <v>#NUM!</v>
      </c>
      <c r="BK52" s="63" t="e">
        <f t="shared" si="102"/>
        <v>#NUM!</v>
      </c>
      <c r="BL52" s="51">
        <f t="shared" si="99"/>
        <v>57.625608738148877</v>
      </c>
      <c r="BM52" s="63">
        <f t="shared" si="100"/>
        <v>88.147498367909904</v>
      </c>
    </row>
    <row r="53" spans="1:65" x14ac:dyDescent="0.3">
      <c r="A53" t="s">
        <v>187</v>
      </c>
      <c r="B53" s="3">
        <f>RFBB</f>
        <v>14000</v>
      </c>
      <c r="C53" s="2" t="s">
        <v>36</v>
      </c>
      <c r="E53" t="s">
        <v>190</v>
      </c>
      <c r="N53" s="11">
        <v>35</v>
      </c>
      <c r="O53" s="52">
        <f t="shared" si="62"/>
        <v>22.387211385683404</v>
      </c>
      <c r="P53" s="50" t="str">
        <f t="shared" si="50"/>
        <v>23.3035714285714</v>
      </c>
      <c r="Q53" s="18" t="str">
        <f t="shared" si="51"/>
        <v>1+0.053351465536207i</v>
      </c>
      <c r="R53" s="18">
        <f t="shared" si="63"/>
        <v>1.0014221781420967</v>
      </c>
      <c r="S53" s="18">
        <f t="shared" si="64"/>
        <v>5.3300932315373993E-2</v>
      </c>
      <c r="T53" s="18" t="str">
        <f t="shared" si="52"/>
        <v>1+0.000248973505835633i</v>
      </c>
      <c r="U53" s="18">
        <f t="shared" si="65"/>
        <v>1.0000000309939028</v>
      </c>
      <c r="V53" s="18">
        <f t="shared" si="66"/>
        <v>2.4897350069119271E-4</v>
      </c>
      <c r="W53" s="32" t="str">
        <f t="shared" si="53"/>
        <v>1-0.000343842883137722i</v>
      </c>
      <c r="X53" s="18">
        <f t="shared" si="67"/>
        <v>1.0000000591139624</v>
      </c>
      <c r="Y53" s="18">
        <f t="shared" si="68"/>
        <v>-3.4384286958711235E-4</v>
      </c>
      <c r="Z53" s="32" t="str">
        <f t="shared" si="54"/>
        <v>0.999999997995251+0.000168756914852347i</v>
      </c>
      <c r="AA53" s="18">
        <f t="shared" si="69"/>
        <v>1.000000012234699</v>
      </c>
      <c r="AB53" s="18">
        <f t="shared" si="70"/>
        <v>1.6875691358865871E-4</v>
      </c>
      <c r="AC53" s="68" t="str">
        <f t="shared" si="71"/>
        <v>23.237103072985-1.24587693807123i</v>
      </c>
      <c r="AD53" s="66">
        <f t="shared" si="72"/>
        <v>27.336106263051999</v>
      </c>
      <c r="AE53" s="63">
        <f t="shared" si="73"/>
        <v>-3.0690231391384941</v>
      </c>
      <c r="AF53" s="51" t="e">
        <f t="shared" si="74"/>
        <v>#NUM!</v>
      </c>
      <c r="AG53" s="51" t="str">
        <f t="shared" si="55"/>
        <v>1-0.0746920517506899i</v>
      </c>
      <c r="AH53" s="51">
        <f t="shared" si="75"/>
        <v>1.0027855715928145</v>
      </c>
      <c r="AI53" s="51">
        <f t="shared" si="76"/>
        <v>-7.4553614957531988E-2</v>
      </c>
      <c r="AJ53" s="51" t="str">
        <f t="shared" si="56"/>
        <v>1+0.000248973505835633i</v>
      </c>
      <c r="AK53" s="51">
        <f t="shared" si="77"/>
        <v>1.0000000309939028</v>
      </c>
      <c r="AL53" s="51">
        <f t="shared" si="78"/>
        <v>2.4897350069119271E-4</v>
      </c>
      <c r="AM53" s="51" t="e">
        <f t="shared" si="57"/>
        <v>#NUM!</v>
      </c>
      <c r="AN53" s="51" t="e">
        <f t="shared" si="79"/>
        <v>#NUM!</v>
      </c>
      <c r="AO53" s="51" t="e">
        <f t="shared" si="80"/>
        <v>#NUM!</v>
      </c>
      <c r="AP53" s="60" t="e">
        <f t="shared" si="81"/>
        <v>#NUM!</v>
      </c>
      <c r="AQ53" s="51" t="e">
        <f t="shared" si="82"/>
        <v>#NUM!</v>
      </c>
      <c r="AR53" s="63" t="e">
        <f t="shared" si="83"/>
        <v>#NUM!</v>
      </c>
      <c r="AS53" s="32" t="str">
        <f t="shared" si="58"/>
        <v>-0.000170731707317073</v>
      </c>
      <c r="AT53" s="32" t="str">
        <f t="shared" si="59"/>
        <v>5.34519391059548E-06i</v>
      </c>
      <c r="AU53" s="32">
        <f t="shared" si="84"/>
        <v>5.3451939105954796E-6</v>
      </c>
      <c r="AV53" s="32">
        <f t="shared" si="85"/>
        <v>1.5707963267948966</v>
      </c>
      <c r="AW53" s="32" t="str">
        <f t="shared" si="60"/>
        <v>1+0.00113803768412291i</v>
      </c>
      <c r="AX53" s="32">
        <f t="shared" si="86"/>
        <v>1.0000006475646757</v>
      </c>
      <c r="AY53" s="32">
        <f t="shared" si="87"/>
        <v>1.1380371928211301E-3</v>
      </c>
      <c r="AZ53" s="32" t="str">
        <f t="shared" si="61"/>
        <v>1+0.0216227159983353i</v>
      </c>
      <c r="BA53" s="32">
        <f t="shared" si="88"/>
        <v>1.0002337436055357</v>
      </c>
      <c r="BB53" s="32">
        <f t="shared" si="89"/>
        <v>2.1619347101818825E-2</v>
      </c>
      <c r="BC53" s="60" t="str">
        <f t="shared" si="90"/>
        <v>-0.654303591481206+31.9419071267709i</v>
      </c>
      <c r="BD53" s="51">
        <f t="shared" si="91"/>
        <v>30.08903877563521</v>
      </c>
      <c r="BE53" s="63">
        <f t="shared" si="92"/>
        <v>91.173492616685039</v>
      </c>
      <c r="BF53" s="60" t="str">
        <f t="shared" si="93"/>
        <v>24.5915654509839+743.052570007613i</v>
      </c>
      <c r="BG53" s="66">
        <f t="shared" si="94"/>
        <v>57.425145038687205</v>
      </c>
      <c r="BH53" s="63">
        <f t="shared" si="95"/>
        <v>88.104469477546544</v>
      </c>
      <c r="BI53" s="60" t="e">
        <f t="shared" si="101"/>
        <v>#NUM!</v>
      </c>
      <c r="BJ53" s="66" t="e">
        <f t="shared" si="97"/>
        <v>#NUM!</v>
      </c>
      <c r="BK53" s="63" t="e">
        <f t="shared" si="102"/>
        <v>#NUM!</v>
      </c>
      <c r="BL53" s="51">
        <f t="shared" si="99"/>
        <v>57.425145038687205</v>
      </c>
      <c r="BM53" s="63">
        <f t="shared" si="100"/>
        <v>88.104469477546544</v>
      </c>
    </row>
    <row r="54" spans="1:65" x14ac:dyDescent="0.3">
      <c r="A54" t="s">
        <v>176</v>
      </c>
      <c r="B54" s="3">
        <f>RCOMP</f>
        <v>4270</v>
      </c>
      <c r="C54" s="2" t="s">
        <v>36</v>
      </c>
      <c r="E54" s="32" t="s">
        <v>183</v>
      </c>
      <c r="N54" s="11">
        <v>36</v>
      </c>
      <c r="O54" s="52">
        <f t="shared" si="62"/>
        <v>22.908676527677727</v>
      </c>
      <c r="P54" s="50" t="str">
        <f t="shared" si="50"/>
        <v>23.3035714285714</v>
      </c>
      <c r="Q54" s="18" t="str">
        <f t="shared" si="51"/>
        <v>1+0.0545941808111087i</v>
      </c>
      <c r="R54" s="18">
        <f t="shared" si="63"/>
        <v>1.0014891535001444</v>
      </c>
      <c r="S54" s="18">
        <f t="shared" si="64"/>
        <v>5.454003783694078E-2</v>
      </c>
      <c r="T54" s="18" t="str">
        <f t="shared" si="52"/>
        <v>1+0.000254772843785174i</v>
      </c>
      <c r="U54" s="18">
        <f t="shared" si="65"/>
        <v>1.0000000324546006</v>
      </c>
      <c r="V54" s="18">
        <f t="shared" si="66"/>
        <v>2.5477283827280692E-4</v>
      </c>
      <c r="W54" s="32" t="str">
        <f t="shared" si="53"/>
        <v>1-0.000351852012760441i</v>
      </c>
      <c r="X54" s="18">
        <f t="shared" si="67"/>
        <v>1.0000000618999174</v>
      </c>
      <c r="Y54" s="18">
        <f t="shared" si="68"/>
        <v>-3.5185199824070128E-4</v>
      </c>
      <c r="Z54" s="32" t="str">
        <f t="shared" si="54"/>
        <v>0.99999999790077+0.000172687768367326i</v>
      </c>
      <c r="AA54" s="18">
        <f t="shared" si="69"/>
        <v>1.0000000128113025</v>
      </c>
      <c r="AB54" s="18">
        <f t="shared" si="70"/>
        <v>1.7268776701325961E-4</v>
      </c>
      <c r="AC54" s="68" t="str">
        <f t="shared" si="71"/>
        <v>23.2339798248124-1.27472662880581i</v>
      </c>
      <c r="AD54" s="66">
        <f t="shared" si="72"/>
        <v>27.335525399949937</v>
      </c>
      <c r="AE54" s="63">
        <f t="shared" si="73"/>
        <v>-3.1403704889087698</v>
      </c>
      <c r="AF54" s="51" t="e">
        <f t="shared" si="74"/>
        <v>#NUM!</v>
      </c>
      <c r="AG54" s="51" t="str">
        <f t="shared" si="55"/>
        <v>1-0.0764318531355524i</v>
      </c>
      <c r="AH54" s="51">
        <f t="shared" si="75"/>
        <v>1.0029166606322455</v>
      </c>
      <c r="AI54" s="51">
        <f t="shared" si="76"/>
        <v>-7.6283538728206618E-2</v>
      </c>
      <c r="AJ54" s="51" t="str">
        <f t="shared" si="56"/>
        <v>1+0.000254772843785174i</v>
      </c>
      <c r="AK54" s="51">
        <f t="shared" si="77"/>
        <v>1.0000000324546006</v>
      </c>
      <c r="AL54" s="51">
        <f t="shared" si="78"/>
        <v>2.5477283827280692E-4</v>
      </c>
      <c r="AM54" s="51" t="e">
        <f t="shared" si="57"/>
        <v>#NUM!</v>
      </c>
      <c r="AN54" s="51" t="e">
        <f t="shared" si="79"/>
        <v>#NUM!</v>
      </c>
      <c r="AO54" s="51" t="e">
        <f t="shared" si="80"/>
        <v>#NUM!</v>
      </c>
      <c r="AP54" s="60" t="e">
        <f t="shared" si="81"/>
        <v>#NUM!</v>
      </c>
      <c r="AQ54" s="51" t="e">
        <f t="shared" si="82"/>
        <v>#NUM!</v>
      </c>
      <c r="AR54" s="63" t="e">
        <f t="shared" si="83"/>
        <v>#NUM!</v>
      </c>
      <c r="AS54" s="32" t="str">
        <f t="shared" si="58"/>
        <v>-0.000170731707317073</v>
      </c>
      <c r="AT54" s="32" t="str">
        <f t="shared" si="59"/>
        <v>5.46969947109411E-06i</v>
      </c>
      <c r="AU54" s="32">
        <f t="shared" si="84"/>
        <v>5.4696994710941102E-6</v>
      </c>
      <c r="AV54" s="32">
        <f t="shared" si="85"/>
        <v>1.5707963267948966</v>
      </c>
      <c r="AW54" s="32" t="str">
        <f t="shared" si="60"/>
        <v>1+0.00116454598711439i</v>
      </c>
      <c r="AX54" s="32">
        <f t="shared" si="86"/>
        <v>1.0000006780834483</v>
      </c>
      <c r="AY54" s="32">
        <f t="shared" si="87"/>
        <v>1.1645454606750674E-3</v>
      </c>
      <c r="AZ54" s="32" t="str">
        <f t="shared" si="61"/>
        <v>1+0.0221263737551734i</v>
      </c>
      <c r="BA54" s="32">
        <f t="shared" si="88"/>
        <v>1.0002447582544753</v>
      </c>
      <c r="BB54" s="32">
        <f t="shared" si="89"/>
        <v>2.2122763965224147E-2</v>
      </c>
      <c r="BC54" s="60" t="str">
        <f t="shared" si="90"/>
        <v>-0.654303551544147+31.214854846695i</v>
      </c>
      <c r="BD54" s="51">
        <f t="shared" si="91"/>
        <v>29.889134159693679</v>
      </c>
      <c r="BE54" s="63">
        <f t="shared" si="92"/>
        <v>91.200817466423644</v>
      </c>
      <c r="BF54" s="60" t="str">
        <f t="shared" si="93"/>
        <v>24.5883311715104+726.079365903035i</v>
      </c>
      <c r="BG54" s="66">
        <f t="shared" si="94"/>
        <v>57.224659559643612</v>
      </c>
      <c r="BH54" s="63">
        <f t="shared" si="95"/>
        <v>88.060446977514886</v>
      </c>
      <c r="BI54" s="60" t="e">
        <f t="shared" si="101"/>
        <v>#NUM!</v>
      </c>
      <c r="BJ54" s="66" t="e">
        <f t="shared" si="97"/>
        <v>#NUM!</v>
      </c>
      <c r="BK54" s="63" t="e">
        <f t="shared" si="102"/>
        <v>#NUM!</v>
      </c>
      <c r="BL54" s="51">
        <f t="shared" si="99"/>
        <v>57.224659559643612</v>
      </c>
      <c r="BM54" s="63">
        <f t="shared" si="100"/>
        <v>88.060446977514886</v>
      </c>
    </row>
    <row r="55" spans="1:65" x14ac:dyDescent="0.3">
      <c r="A55" t="s">
        <v>181</v>
      </c>
      <c r="B55" s="3">
        <f>CCOMP</f>
        <v>3.6000000000000005E-8</v>
      </c>
      <c r="C55" s="2" t="s">
        <v>158</v>
      </c>
      <c r="E55" s="32" t="s">
        <v>184</v>
      </c>
      <c r="N55" s="11">
        <v>37</v>
      </c>
      <c r="O55" s="52">
        <f t="shared" si="62"/>
        <v>23.442288153199236</v>
      </c>
      <c r="P55" s="50" t="str">
        <f t="shared" si="50"/>
        <v>23.3035714285714</v>
      </c>
      <c r="Q55" s="18" t="str">
        <f t="shared" si="51"/>
        <v>1+0.055865842643316i</v>
      </c>
      <c r="R55" s="18">
        <f t="shared" si="63"/>
        <v>1.0015592805092706</v>
      </c>
      <c r="S55" s="18">
        <f t="shared" si="64"/>
        <v>5.5807832278284925E-2</v>
      </c>
      <c r="T55" s="18" t="str">
        <f t="shared" si="52"/>
        <v>1+0.000260707265668808i</v>
      </c>
      <c r="U55" s="18">
        <f t="shared" si="65"/>
        <v>1.0000000339841386</v>
      </c>
      <c r="V55" s="18">
        <f t="shared" si="66"/>
        <v>2.6070725976220024E-4</v>
      </c>
      <c r="W55" s="32" t="str">
        <f t="shared" si="53"/>
        <v>1-0.000360047698977638i</v>
      </c>
      <c r="X55" s="18">
        <f t="shared" si="67"/>
        <v>1.0000000648171707</v>
      </c>
      <c r="Y55" s="18">
        <f t="shared" si="68"/>
        <v>-3.6004768341945661E-4</v>
      </c>
      <c r="Z55" s="32" t="str">
        <f t="shared" si="54"/>
        <v>0.999999997801836+0.000176710183222887i</v>
      </c>
      <c r="AA55" s="18">
        <f t="shared" si="69"/>
        <v>1.0000000134150802</v>
      </c>
      <c r="AB55" s="18">
        <f t="shared" si="70"/>
        <v>1.767101817719788E-4</v>
      </c>
      <c r="AC55" s="68" t="str">
        <f t="shared" si="71"/>
        <v>23.2307102778015-1.30423617034122i</v>
      </c>
      <c r="AD55" s="66">
        <f t="shared" si="72"/>
        <v>27.334917244878948</v>
      </c>
      <c r="AE55" s="63">
        <f t="shared" si="73"/>
        <v>-3.2133697879428018</v>
      </c>
      <c r="AF55" s="51" t="e">
        <f t="shared" si="74"/>
        <v>#NUM!</v>
      </c>
      <c r="AG55" s="51" t="str">
        <f t="shared" si="55"/>
        <v>1-0.0782121797006426i</v>
      </c>
      <c r="AH55" s="51">
        <f t="shared" si="75"/>
        <v>1.0030539093456172</v>
      </c>
      <c r="AI55" s="51">
        <f t="shared" si="76"/>
        <v>-7.8053284070710716E-2</v>
      </c>
      <c r="AJ55" s="51" t="str">
        <f t="shared" si="56"/>
        <v>1+0.000260707265668808i</v>
      </c>
      <c r="AK55" s="51">
        <f t="shared" si="77"/>
        <v>1.0000000339841386</v>
      </c>
      <c r="AL55" s="51">
        <f t="shared" si="78"/>
        <v>2.6070725976220024E-4</v>
      </c>
      <c r="AM55" s="51" t="e">
        <f t="shared" si="57"/>
        <v>#NUM!</v>
      </c>
      <c r="AN55" s="51" t="e">
        <f t="shared" si="79"/>
        <v>#NUM!</v>
      </c>
      <c r="AO55" s="51" t="e">
        <f t="shared" si="80"/>
        <v>#NUM!</v>
      </c>
      <c r="AP55" s="60" t="e">
        <f t="shared" si="81"/>
        <v>#NUM!</v>
      </c>
      <c r="AQ55" s="51" t="e">
        <f t="shared" si="82"/>
        <v>#NUM!</v>
      </c>
      <c r="AR55" s="63" t="e">
        <f t="shared" si="83"/>
        <v>#NUM!</v>
      </c>
      <c r="AS55" s="32" t="str">
        <f t="shared" si="58"/>
        <v>-0.000170731707317073</v>
      </c>
      <c r="AT55" s="32" t="str">
        <f t="shared" si="59"/>
        <v>5.59710513865236E-06i</v>
      </c>
      <c r="AU55" s="32">
        <f t="shared" si="84"/>
        <v>5.5971051386523602E-6</v>
      </c>
      <c r="AV55" s="32">
        <f t="shared" si="85"/>
        <v>1.5707963267948966</v>
      </c>
      <c r="AW55" s="32" t="str">
        <f t="shared" si="60"/>
        <v>1+0.00119167174780283i</v>
      </c>
      <c r="AX55" s="32">
        <f t="shared" si="86"/>
        <v>1.0000007100405253</v>
      </c>
      <c r="AY55" s="32">
        <f t="shared" si="87"/>
        <v>1.1916711837129544E-3</v>
      </c>
      <c r="AZ55" s="32" t="str">
        <f t="shared" si="61"/>
        <v>1+0.0226417632082538i</v>
      </c>
      <c r="BA55" s="32">
        <f t="shared" si="88"/>
        <v>1.0002562918778259</v>
      </c>
      <c r="BB55" s="32">
        <f t="shared" si="89"/>
        <v>2.2637895302160049E-2</v>
      </c>
      <c r="BC55" s="60" t="str">
        <f t="shared" si="90"/>
        <v>-0.654303509724922+30.5043530958316i</v>
      </c>
      <c r="BD55" s="51">
        <f t="shared" si="91"/>
        <v>29.689234036806475</v>
      </c>
      <c r="BE55" s="63">
        <f t="shared" si="92"/>
        <v>91.228778128478694</v>
      </c>
      <c r="BF55" s="60" t="str">
        <f t="shared" si="93"/>
        <v>24.5849453922754+709.491155284786i</v>
      </c>
      <c r="BG55" s="66">
        <f t="shared" si="94"/>
        <v>57.024151281685427</v>
      </c>
      <c r="BH55" s="63">
        <f t="shared" si="95"/>
        <v>88.015408340535899</v>
      </c>
      <c r="BI55" s="60" t="e">
        <f t="shared" si="101"/>
        <v>#NUM!</v>
      </c>
      <c r="BJ55" s="66" t="e">
        <f t="shared" si="97"/>
        <v>#NUM!</v>
      </c>
      <c r="BK55" s="63" t="e">
        <f t="shared" si="102"/>
        <v>#NUM!</v>
      </c>
      <c r="BL55" s="51">
        <f t="shared" si="99"/>
        <v>57.024151281685427</v>
      </c>
      <c r="BM55" s="63">
        <f t="shared" si="100"/>
        <v>88.015408340535899</v>
      </c>
    </row>
    <row r="56" spans="1:65" x14ac:dyDescent="0.3">
      <c r="A56" t="s">
        <v>182</v>
      </c>
      <c r="B56" s="3">
        <f>CHF</f>
        <v>2.0000000000000001E-9</v>
      </c>
      <c r="C56" s="2" t="s">
        <v>158</v>
      </c>
      <c r="E56" s="32" t="s">
        <v>185</v>
      </c>
      <c r="N56" s="11">
        <v>38</v>
      </c>
      <c r="O56" s="52">
        <f t="shared" si="62"/>
        <v>23.988329190194907</v>
      </c>
      <c r="P56" s="50" t="str">
        <f t="shared" si="50"/>
        <v>23.3035714285714</v>
      </c>
      <c r="Q56" s="18" t="str">
        <f t="shared" si="51"/>
        <v>1+0.0571671252847644i</v>
      </c>
      <c r="R56" s="18">
        <f t="shared" si="63"/>
        <v>1.0016327072401958</v>
      </c>
      <c r="S56" s="18">
        <f t="shared" si="64"/>
        <v>5.7104971529729889E-2</v>
      </c>
      <c r="T56" s="18" t="str">
        <f t="shared" si="52"/>
        <v>1+0.000266779917995568i</v>
      </c>
      <c r="U56" s="18">
        <f t="shared" si="65"/>
        <v>1.0000000355857617</v>
      </c>
      <c r="V56" s="18">
        <f t="shared" si="66"/>
        <v>2.6677991166652377E-4</v>
      </c>
      <c r="W56" s="32" t="str">
        <f t="shared" si="53"/>
        <v>1-0.000368434287250627i</v>
      </c>
      <c r="X56" s="18">
        <f t="shared" si="67"/>
        <v>1.0000000678719096</v>
      </c>
      <c r="Y56" s="18">
        <f t="shared" si="68"/>
        <v>-3.6843427057973532E-4</v>
      </c>
      <c r="Z56" s="32" t="str">
        <f t="shared" si="54"/>
        <v>0.99999999769824+0.000180826292156628i</v>
      </c>
      <c r="AA56" s="18">
        <f t="shared" si="69"/>
        <v>1.0000000140473138</v>
      </c>
      <c r="AB56" s="18">
        <f t="shared" si="70"/>
        <v>1.808262906019518E-4</v>
      </c>
      <c r="AC56" s="68" t="str">
        <f t="shared" si="71"/>
        <v>23.227287623066-1.33442007006726i</v>
      </c>
      <c r="AD56" s="66">
        <f t="shared" si="72"/>
        <v>27.334280519615888</v>
      </c>
      <c r="AE56" s="63">
        <f t="shared" si="73"/>
        <v>-3.2880588068795737</v>
      </c>
      <c r="AF56" s="51" t="e">
        <f t="shared" si="74"/>
        <v>#NUM!</v>
      </c>
      <c r="AG56" s="51" t="str">
        <f t="shared" si="55"/>
        <v>1-0.0800339753986704i</v>
      </c>
      <c r="AH56" s="51">
        <f t="shared" si="75"/>
        <v>1.003197606266141</v>
      </c>
      <c r="AI56" s="51">
        <f t="shared" si="76"/>
        <v>-7.986374495995073E-2</v>
      </c>
      <c r="AJ56" s="51" t="str">
        <f t="shared" si="56"/>
        <v>1+0.000266779917995568i</v>
      </c>
      <c r="AK56" s="51">
        <f t="shared" si="77"/>
        <v>1.0000000355857617</v>
      </c>
      <c r="AL56" s="51">
        <f t="shared" si="78"/>
        <v>2.6677991166652377E-4</v>
      </c>
      <c r="AM56" s="51" t="e">
        <f t="shared" si="57"/>
        <v>#NUM!</v>
      </c>
      <c r="AN56" s="51" t="e">
        <f t="shared" si="79"/>
        <v>#NUM!</v>
      </c>
      <c r="AO56" s="51" t="e">
        <f t="shared" si="80"/>
        <v>#NUM!</v>
      </c>
      <c r="AP56" s="60" t="e">
        <f t="shared" si="81"/>
        <v>#NUM!</v>
      </c>
      <c r="AQ56" s="51" t="e">
        <f t="shared" si="82"/>
        <v>#NUM!</v>
      </c>
      <c r="AR56" s="63" t="e">
        <f t="shared" si="83"/>
        <v>#NUM!</v>
      </c>
      <c r="AS56" s="32" t="str">
        <f t="shared" si="58"/>
        <v>-0.000170731707317073</v>
      </c>
      <c r="AT56" s="32" t="str">
        <f t="shared" si="59"/>
        <v>5.72747846544155E-06i</v>
      </c>
      <c r="AU56" s="32">
        <f t="shared" si="84"/>
        <v>5.7274784654415497E-6</v>
      </c>
      <c r="AV56" s="32">
        <f t="shared" si="85"/>
        <v>1.5707963267948966</v>
      </c>
      <c r="AW56" s="32" t="str">
        <f t="shared" si="60"/>
        <v>1+0.00121942934862559i</v>
      </c>
      <c r="AX56" s="32">
        <f t="shared" si="86"/>
        <v>1.0000007435036917</v>
      </c>
      <c r="AY56" s="32">
        <f t="shared" si="87"/>
        <v>1.2194287441924228E-3</v>
      </c>
      <c r="AZ56" s="32" t="str">
        <f t="shared" si="61"/>
        <v>1+0.0231691576238862i</v>
      </c>
      <c r="BA56" s="32">
        <f t="shared" si="88"/>
        <v>1.0002683689215612</v>
      </c>
      <c r="BB56" s="32">
        <f t="shared" si="89"/>
        <v>2.3165013147889602E-2</v>
      </c>
      <c r="BC56" s="60" t="str">
        <f t="shared" si="90"/>
        <v>-0.654303465934817+29.8100251567481i</v>
      </c>
      <c r="BD56" s="51">
        <f t="shared" si="91"/>
        <v>29.489338618507198</v>
      </c>
      <c r="BE56" s="63">
        <f t="shared" si="92"/>
        <v>91.257389365279963</v>
      </c>
      <c r="BF56" s="60" t="str">
        <f t="shared" si="93"/>
        <v>24.5814010623376+693.279144043479i</v>
      </c>
      <c r="BG56" s="66">
        <f t="shared" si="94"/>
        <v>56.823619138123085</v>
      </c>
      <c r="BH56" s="63">
        <f t="shared" si="95"/>
        <v>87.969330558400401</v>
      </c>
      <c r="BI56" s="60" t="e">
        <f t="shared" si="101"/>
        <v>#NUM!</v>
      </c>
      <c r="BJ56" s="66" t="e">
        <f t="shared" si="97"/>
        <v>#NUM!</v>
      </c>
      <c r="BK56" s="63" t="e">
        <f t="shared" si="102"/>
        <v>#NUM!</v>
      </c>
      <c r="BL56" s="51">
        <f t="shared" si="99"/>
        <v>56.823619138123085</v>
      </c>
      <c r="BM56" s="63">
        <f t="shared" si="100"/>
        <v>87.969330558400401</v>
      </c>
    </row>
    <row r="57" spans="1:65" x14ac:dyDescent="0.3">
      <c r="N57" s="11">
        <v>39</v>
      </c>
      <c r="O57" s="52">
        <f t="shared" si="62"/>
        <v>24.547089156850316</v>
      </c>
      <c r="P57" s="50" t="str">
        <f t="shared" si="50"/>
        <v>23.3035714285714</v>
      </c>
      <c r="Q57" s="18" t="str">
        <f t="shared" si="51"/>
        <v>1+0.0584987186927352i</v>
      </c>
      <c r="R57" s="18">
        <f t="shared" si="63"/>
        <v>1.0017095886975884</v>
      </c>
      <c r="S57" s="18">
        <f t="shared" si="64"/>
        <v>5.8432125881569638E-2</v>
      </c>
      <c r="T57" s="18" t="str">
        <f t="shared" si="52"/>
        <v>1+0.000272994020566098i</v>
      </c>
      <c r="U57" s="18">
        <f t="shared" si="65"/>
        <v>1.000000037262867</v>
      </c>
      <c r="V57" s="18">
        <f t="shared" si="66"/>
        <v>2.7299401378440497E-4</v>
      </c>
      <c r="W57" s="32" t="str">
        <f t="shared" si="53"/>
        <v>1-0.00037701622425952i</v>
      </c>
      <c r="X57" s="18">
        <f t="shared" si="67"/>
        <v>1.0000000710706143</v>
      </c>
      <c r="Y57" s="18">
        <f t="shared" si="68"/>
        <v>-3.7701620639633783E-4</v>
      </c>
      <c r="Z57" s="32" t="str">
        <f t="shared" si="54"/>
        <v>0.999999997589762+0.00018503827758399i</v>
      </c>
      <c r="AA57" s="18">
        <f t="shared" si="69"/>
        <v>1.000000014709344</v>
      </c>
      <c r="AB57" s="18">
        <f t="shared" si="70"/>
        <v>1.8503827591812434E-4</v>
      </c>
      <c r="AC57" s="68" t="str">
        <f t="shared" si="71"/>
        <v>23.2237047390598-1.36529311234583i</v>
      </c>
      <c r="AD57" s="66">
        <f t="shared" si="72"/>
        <v>27.333613886465674</v>
      </c>
      <c r="AE57" s="63">
        <f t="shared" si="73"/>
        <v>-3.3644761458619432</v>
      </c>
      <c r="AF57" s="51" t="e">
        <f t="shared" si="74"/>
        <v>#NUM!</v>
      </c>
      <c r="AG57" s="51" t="str">
        <f t="shared" si="55"/>
        <v>1-0.0818982061698295i</v>
      </c>
      <c r="AH57" s="51">
        <f t="shared" si="75"/>
        <v>1.0033480533562797</v>
      </c>
      <c r="AI57" s="51">
        <f t="shared" si="76"/>
        <v>-8.1715833825584172E-2</v>
      </c>
      <c r="AJ57" s="51" t="str">
        <f t="shared" si="56"/>
        <v>1+0.000272994020566098i</v>
      </c>
      <c r="AK57" s="51">
        <f t="shared" si="77"/>
        <v>1.000000037262867</v>
      </c>
      <c r="AL57" s="51">
        <f t="shared" si="78"/>
        <v>2.7299401378440497E-4</v>
      </c>
      <c r="AM57" s="51" t="e">
        <f t="shared" si="57"/>
        <v>#NUM!</v>
      </c>
      <c r="AN57" s="51" t="e">
        <f t="shared" si="79"/>
        <v>#NUM!</v>
      </c>
      <c r="AO57" s="51" t="e">
        <f t="shared" si="80"/>
        <v>#NUM!</v>
      </c>
      <c r="AP57" s="60" t="e">
        <f t="shared" si="81"/>
        <v>#NUM!</v>
      </c>
      <c r="AQ57" s="51" t="e">
        <f t="shared" si="82"/>
        <v>#NUM!</v>
      </c>
      <c r="AR57" s="63" t="e">
        <f t="shared" si="83"/>
        <v>#NUM!</v>
      </c>
      <c r="AS57" s="32" t="str">
        <f t="shared" si="58"/>
        <v>-0.000170731707317073</v>
      </c>
      <c r="AT57" s="32" t="str">
        <f t="shared" si="59"/>
        <v>5.86088857712527E-06i</v>
      </c>
      <c r="AU57" s="32">
        <f t="shared" si="84"/>
        <v>5.8608885771252699E-6</v>
      </c>
      <c r="AV57" s="32">
        <f t="shared" si="85"/>
        <v>1.5707963267948966</v>
      </c>
      <c r="AW57" s="32" t="str">
        <f t="shared" si="60"/>
        <v>1+0.00124783350703005i</v>
      </c>
      <c r="AX57" s="32">
        <f t="shared" si="86"/>
        <v>1.0000007785439275</v>
      </c>
      <c r="AY57" s="32">
        <f t="shared" si="87"/>
        <v>1.2478328593682698E-3</v>
      </c>
      <c r="AZ57" s="32" t="str">
        <f t="shared" si="61"/>
        <v>1+0.0237088366335709i</v>
      </c>
      <c r="BA57" s="32">
        <f t="shared" si="88"/>
        <v>1.0002810149825485</v>
      </c>
      <c r="BB57" s="32">
        <f t="shared" si="89"/>
        <v>2.3704395814909438E-2</v>
      </c>
      <c r="BC57" s="60" t="str">
        <f t="shared" si="90"/>
        <v>-0.654303420080956+29.1315028875797i</v>
      </c>
      <c r="BD57" s="51">
        <f t="shared" si="91"/>
        <v>29.289448126277364</v>
      </c>
      <c r="BE57" s="63">
        <f t="shared" si="92"/>
        <v>91.28666627972234</v>
      </c>
      <c r="BF57" s="60" t="str">
        <f t="shared" si="93"/>
        <v>24.5776908069781+677.43473761904i</v>
      </c>
      <c r="BG57" s="66">
        <f t="shared" si="94"/>
        <v>56.623062012743041</v>
      </c>
      <c r="BH57" s="63">
        <f t="shared" si="95"/>
        <v>87.922190133860397</v>
      </c>
      <c r="BI57" s="60" t="e">
        <f t="shared" si="101"/>
        <v>#NUM!</v>
      </c>
      <c r="BJ57" s="66" t="e">
        <f t="shared" si="97"/>
        <v>#NUM!</v>
      </c>
      <c r="BK57" s="63" t="e">
        <f t="shared" si="102"/>
        <v>#NUM!</v>
      </c>
      <c r="BL57" s="51">
        <f t="shared" si="99"/>
        <v>56.623062012743041</v>
      </c>
      <c r="BM57" s="63">
        <f t="shared" si="100"/>
        <v>87.922190133860397</v>
      </c>
    </row>
    <row r="58" spans="1:65" x14ac:dyDescent="0.3">
      <c r="A58" t="s">
        <v>225</v>
      </c>
      <c r="B58" s="1">
        <f>-(RFBB*gm_ea)/(RFBB+RFBT)</f>
        <v>-1.7073170731707316E-4</v>
      </c>
      <c r="C58" t="s">
        <v>147</v>
      </c>
      <c r="N58" s="11">
        <v>40</v>
      </c>
      <c r="O58" s="52">
        <f t="shared" si="62"/>
        <v>25.118864315095799</v>
      </c>
      <c r="P58" s="50" t="str">
        <f t="shared" si="50"/>
        <v>23.3035714285714</v>
      </c>
      <c r="Q58" s="18" t="str">
        <f t="shared" si="51"/>
        <v>1+0.0598613288956794i</v>
      </c>
      <c r="R58" s="18">
        <f t="shared" si="63"/>
        <v>1.0017900871425893</v>
      </c>
      <c r="S58" s="18">
        <f t="shared" si="64"/>
        <v>5.9789980297483877E-2</v>
      </c>
      <c r="T58" s="18" t="str">
        <f t="shared" si="52"/>
        <v>1+0.000279352868179837i</v>
      </c>
      <c r="U58" s="18">
        <f t="shared" si="65"/>
        <v>1.0000000390190118</v>
      </c>
      <c r="V58" s="18">
        <f t="shared" si="66"/>
        <v>2.7935286091312201E-4</v>
      </c>
      <c r="W58" s="32" t="str">
        <f t="shared" si="53"/>
        <v>1-0.000385798060260917i</v>
      </c>
      <c r="X58" s="18">
        <f t="shared" si="67"/>
        <v>1.000000074420069</v>
      </c>
      <c r="Y58" s="18">
        <f t="shared" si="68"/>
        <v>-3.857980411201725E-4</v>
      </c>
      <c r="Z58" s="32" t="str">
        <f t="shared" si="54"/>
        <v>0.999999997476171+0.000189348372755398i</v>
      </c>
      <c r="AA58" s="18">
        <f t="shared" si="69"/>
        <v>1.0000000154025739</v>
      </c>
      <c r="AB58" s="18">
        <f t="shared" si="70"/>
        <v>1.8934837097039076E-4</v>
      </c>
      <c r="AC58" s="68" t="str">
        <f t="shared" si="71"/>
        <v>23.2199541776267-1.39687036069274i</v>
      </c>
      <c r="AD58" s="66">
        <f t="shared" si="72"/>
        <v>27.332915945531898</v>
      </c>
      <c r="AE58" s="63">
        <f t="shared" si="73"/>
        <v>-3.4426612503058154</v>
      </c>
      <c r="AF58" s="51" t="e">
        <f t="shared" si="74"/>
        <v>#NUM!</v>
      </c>
      <c r="AG58" s="51" t="str">
        <f t="shared" si="55"/>
        <v>1-0.0838058604539513i</v>
      </c>
      <c r="AH58" s="51">
        <f t="shared" si="75"/>
        <v>1.0035055666245341</v>
      </c>
      <c r="AI58" s="51">
        <f t="shared" si="76"/>
        <v>-8.3610481816543708E-2</v>
      </c>
      <c r="AJ58" s="51" t="str">
        <f t="shared" si="56"/>
        <v>1+0.000279352868179837i</v>
      </c>
      <c r="AK58" s="51">
        <f t="shared" si="77"/>
        <v>1.0000000390190118</v>
      </c>
      <c r="AL58" s="51">
        <f t="shared" si="78"/>
        <v>2.7935286091312201E-4</v>
      </c>
      <c r="AM58" s="51" t="e">
        <f t="shared" si="57"/>
        <v>#NUM!</v>
      </c>
      <c r="AN58" s="51" t="e">
        <f t="shared" si="79"/>
        <v>#NUM!</v>
      </c>
      <c r="AO58" s="51" t="e">
        <f t="shared" si="80"/>
        <v>#NUM!</v>
      </c>
      <c r="AP58" s="60" t="e">
        <f t="shared" si="81"/>
        <v>#NUM!</v>
      </c>
      <c r="AQ58" s="51" t="e">
        <f t="shared" si="82"/>
        <v>#NUM!</v>
      </c>
      <c r="AR58" s="63" t="e">
        <f t="shared" si="83"/>
        <v>#NUM!</v>
      </c>
      <c r="AS58" s="32" t="str">
        <f t="shared" si="58"/>
        <v>-0.000170731707317073</v>
      </c>
      <c r="AT58" s="32" t="str">
        <f t="shared" si="59"/>
        <v>5.99740620951061E-06i</v>
      </c>
      <c r="AU58" s="32">
        <f t="shared" si="84"/>
        <v>5.9974062095106096E-6</v>
      </c>
      <c r="AV58" s="32">
        <f t="shared" si="85"/>
        <v>1.5707963267948966</v>
      </c>
      <c r="AW58" s="32" t="str">
        <f t="shared" si="60"/>
        <v>1+0.00127689928327697i</v>
      </c>
      <c r="AX58" s="32">
        <f t="shared" si="86"/>
        <v>1.0000008152355575</v>
      </c>
      <c r="AY58" s="32">
        <f t="shared" si="87"/>
        <v>1.2768985892949E-3</v>
      </c>
      <c r="AZ58" s="32" t="str">
        <f t="shared" si="61"/>
        <v>1+0.0242610863822625i</v>
      </c>
      <c r="BA58" s="32">
        <f t="shared" si="88"/>
        <v>1.0002942568626731</v>
      </c>
      <c r="BB58" s="32">
        <f t="shared" si="89"/>
        <v>2.4256328034933355E-2</v>
      </c>
      <c r="BC58" s="60" t="str">
        <f t="shared" si="90"/>
        <v>-0.654303372066083+28.4684265268381i</v>
      </c>
      <c r="BD58" s="51">
        <f t="shared" si="91"/>
        <v>29.089562792013893</v>
      </c>
      <c r="BE58" s="63">
        <f t="shared" si="92"/>
        <v>91.316624322853727</v>
      </c>
      <c r="BF58" s="60" t="str">
        <f t="shared" si="93"/>
        <v>24.573806913258+661.949536449654i</v>
      </c>
      <c r="BG58" s="66">
        <f t="shared" si="94"/>
        <v>56.422478737545802</v>
      </c>
      <c r="BH58" s="63">
        <f t="shared" si="95"/>
        <v>87.873963072547923</v>
      </c>
      <c r="BI58" s="60" t="e">
        <f t="shared" si="101"/>
        <v>#NUM!</v>
      </c>
      <c r="BJ58" s="66" t="e">
        <f t="shared" si="97"/>
        <v>#NUM!</v>
      </c>
      <c r="BK58" s="63" t="e">
        <f t="shared" si="102"/>
        <v>#NUM!</v>
      </c>
      <c r="BL58" s="51">
        <f t="shared" si="99"/>
        <v>56.422478737545802</v>
      </c>
      <c r="BM58" s="63">
        <f t="shared" si="100"/>
        <v>87.873963072547923</v>
      </c>
    </row>
    <row r="59" spans="1:65" x14ac:dyDescent="0.3">
      <c r="A59" t="s">
        <v>224</v>
      </c>
      <c r="B59" s="1">
        <f>1/(RCOMP*CCOMP)</f>
        <v>6505.334374186833</v>
      </c>
      <c r="E59" t="s">
        <v>238</v>
      </c>
      <c r="N59" s="11">
        <v>41</v>
      </c>
      <c r="O59" s="52">
        <f t="shared" si="62"/>
        <v>25.703957827688647</v>
      </c>
      <c r="P59" s="50" t="str">
        <f t="shared" si="50"/>
        <v>23.3035714285714</v>
      </c>
      <c r="Q59" s="18" t="str">
        <f t="shared" si="51"/>
        <v>1+0.0612556783675619i</v>
      </c>
      <c r="R59" s="18">
        <f t="shared" si="63"/>
        <v>1.0018743724301318</v>
      </c>
      <c r="S59" s="18">
        <f t="shared" si="64"/>
        <v>6.1179234689979801E-2</v>
      </c>
      <c r="T59" s="18" t="str">
        <f t="shared" si="52"/>
        <v>1+0.000285859832381956i</v>
      </c>
      <c r="U59" s="18">
        <f t="shared" si="65"/>
        <v>1.000000040857921</v>
      </c>
      <c r="V59" s="18">
        <f t="shared" si="66"/>
        <v>2.858598245955306E-4</v>
      </c>
      <c r="W59" s="32" t="str">
        <f t="shared" si="53"/>
        <v>1-0.000394784451500504i</v>
      </c>
      <c r="X59" s="18">
        <f t="shared" si="67"/>
        <v>1.0000000779273786</v>
      </c>
      <c r="Y59" s="18">
        <f t="shared" si="68"/>
        <v>-3.9478443099082687E-4</v>
      </c>
      <c r="Z59" s="32" t="str">
        <f t="shared" si="54"/>
        <v>0.999999997357226+0.000193758862940363i</v>
      </c>
      <c r="AA59" s="18">
        <f t="shared" si="69"/>
        <v>1.0000000161284743</v>
      </c>
      <c r="AB59" s="18">
        <f t="shared" si="70"/>
        <v>1.9375886102769341E-4</v>
      </c>
      <c r="AC59" s="68" t="str">
        <f t="shared" si="71"/>
        <v>23.216028149468-1.42916715971581i</v>
      </c>
      <c r="AD59" s="66">
        <f t="shared" si="72"/>
        <v>27.332185231866205</v>
      </c>
      <c r="AE59" s="63">
        <f t="shared" si="73"/>
        <v>-3.5226544267879234</v>
      </c>
      <c r="AF59" s="51" t="e">
        <f t="shared" si="74"/>
        <v>#NUM!</v>
      </c>
      <c r="AG59" s="51" t="str">
        <f t="shared" si="55"/>
        <v>1-0.0857579497145869i</v>
      </c>
      <c r="AH59" s="51">
        <f t="shared" si="75"/>
        <v>1.003670476769766</v>
      </c>
      <c r="AI59" s="51">
        <f t="shared" si="76"/>
        <v>-8.5548639060383749E-2</v>
      </c>
      <c r="AJ59" s="51" t="str">
        <f t="shared" si="56"/>
        <v>1+0.000285859832381956i</v>
      </c>
      <c r="AK59" s="51">
        <f t="shared" si="77"/>
        <v>1.000000040857921</v>
      </c>
      <c r="AL59" s="51">
        <f t="shared" si="78"/>
        <v>2.858598245955306E-4</v>
      </c>
      <c r="AM59" s="51" t="e">
        <f t="shared" si="57"/>
        <v>#NUM!</v>
      </c>
      <c r="AN59" s="51" t="e">
        <f t="shared" si="79"/>
        <v>#NUM!</v>
      </c>
      <c r="AO59" s="51" t="e">
        <f t="shared" si="80"/>
        <v>#NUM!</v>
      </c>
      <c r="AP59" s="60" t="e">
        <f t="shared" si="81"/>
        <v>#NUM!</v>
      </c>
      <c r="AQ59" s="51" t="e">
        <f t="shared" si="82"/>
        <v>#NUM!</v>
      </c>
      <c r="AR59" s="63" t="e">
        <f t="shared" si="83"/>
        <v>#NUM!</v>
      </c>
      <c r="AS59" s="32" t="str">
        <f t="shared" si="58"/>
        <v>-0.000170731707317073</v>
      </c>
      <c r="AT59" s="32" t="str">
        <f t="shared" si="59"/>
        <v>6.13710374605329E-06i</v>
      </c>
      <c r="AU59" s="32">
        <f t="shared" si="84"/>
        <v>6.1371037460532901E-6</v>
      </c>
      <c r="AV59" s="32">
        <f t="shared" si="85"/>
        <v>1.5707963267948966</v>
      </c>
      <c r="AW59" s="32" t="str">
        <f t="shared" si="60"/>
        <v>1+0.00130664208842564i</v>
      </c>
      <c r="AX59" s="32">
        <f t="shared" si="86"/>
        <v>1.0000008536564093</v>
      </c>
      <c r="AY59" s="32">
        <f t="shared" si="87"/>
        <v>1.3066413448104889E-3</v>
      </c>
      <c r="AZ59" s="32" t="str">
        <f t="shared" si="61"/>
        <v>1+0.0248261996800871i</v>
      </c>
      <c r="BA59" s="32">
        <f t="shared" si="88"/>
        <v>1.0003081226255015</v>
      </c>
      <c r="BB59" s="32">
        <f t="shared" si="89"/>
        <v>2.4821101103881592E-2</v>
      </c>
      <c r="BC59" s="60" t="str">
        <f t="shared" si="90"/>
        <v>-0.654303321788338+27.8204445026592i</v>
      </c>
      <c r="BD59" s="51">
        <f t="shared" si="91"/>
        <v>28.889682858517208</v>
      </c>
      <c r="BE59" s="63">
        <f t="shared" si="92"/>
        <v>91.347279301724996</v>
      </c>
      <c r="BF59" s="60" t="str">
        <f t="shared" si="93"/>
        <v>24.5697413149683+646.815331524441i</v>
      </c>
      <c r="BG59" s="66">
        <f t="shared" si="94"/>
        <v>56.22186809038341</v>
      </c>
      <c r="BH59" s="63">
        <f t="shared" si="95"/>
        <v>87.824624874937072</v>
      </c>
      <c r="BI59" s="60" t="e">
        <f t="shared" si="101"/>
        <v>#NUM!</v>
      </c>
      <c r="BJ59" s="66" t="e">
        <f t="shared" si="97"/>
        <v>#NUM!</v>
      </c>
      <c r="BK59" s="63" t="e">
        <f t="shared" si="102"/>
        <v>#NUM!</v>
      </c>
      <c r="BL59" s="51">
        <f t="shared" si="99"/>
        <v>56.22186809038341</v>
      </c>
      <c r="BM59" s="63">
        <f t="shared" si="100"/>
        <v>87.824624874937072</v>
      </c>
    </row>
    <row r="60" spans="1:65" x14ac:dyDescent="0.3">
      <c r="A60" t="s">
        <v>229</v>
      </c>
      <c r="B60" s="1">
        <f>(CCOMP+CHF)</f>
        <v>3.8000000000000003E-8</v>
      </c>
      <c r="E60" t="s">
        <v>239</v>
      </c>
      <c r="N60" s="11">
        <v>42</v>
      </c>
      <c r="O60" s="52">
        <f t="shared" si="62"/>
        <v>26.302679918953825</v>
      </c>
      <c r="P60" s="50" t="str">
        <f t="shared" si="50"/>
        <v>23.3035714285714</v>
      </c>
      <c r="Q60" s="18" t="str">
        <f t="shared" si="51"/>
        <v>1+0.0626825064109298i</v>
      </c>
      <c r="R60" s="18">
        <f t="shared" si="63"/>
        <v>1.0019626223617109</v>
      </c>
      <c r="S60" s="18">
        <f t="shared" si="64"/>
        <v>6.2600604197613416E-2</v>
      </c>
      <c r="T60" s="18" t="str">
        <f t="shared" si="52"/>
        <v>1+0.000292518363251006i</v>
      </c>
      <c r="U60" s="18">
        <f t="shared" si="65"/>
        <v>1.0000000427834954</v>
      </c>
      <c r="V60" s="18">
        <f t="shared" si="66"/>
        <v>2.9251835490770085E-4</v>
      </c>
      <c r="W60" s="32" t="str">
        <f t="shared" si="53"/>
        <v>1-0.000403980162681866i</v>
      </c>
      <c r="X60" s="18">
        <f t="shared" si="67"/>
        <v>1.0000000815999825</v>
      </c>
      <c r="Y60" s="18">
        <f t="shared" si="68"/>
        <v>-4.0398014070535109E-4</v>
      </c>
      <c r="Z60" s="32" t="str">
        <f t="shared" si="54"/>
        <v>0.999999997232676+0.00019827208663916i</v>
      </c>
      <c r="AA60" s="18">
        <f t="shared" si="69"/>
        <v>1.0000000168885859</v>
      </c>
      <c r="AB60" s="18">
        <f t="shared" si="70"/>
        <v>1.9827208458969759E-4</v>
      </c>
      <c r="AC60" s="68" t="str">
        <f t="shared" si="71"/>
        <v>23.2119185090059-1.46219913678364i</v>
      </c>
      <c r="AD60" s="66">
        <f t="shared" si="72"/>
        <v>27.331420212490691</v>
      </c>
      <c r="AE60" s="63">
        <f t="shared" si="73"/>
        <v>-3.6044968590376372</v>
      </c>
      <c r="AF60" s="51" t="e">
        <f t="shared" si="74"/>
        <v>#NUM!</v>
      </c>
      <c r="AG60" s="51" t="str">
        <f t="shared" si="55"/>
        <v>1-0.087755508975302i</v>
      </c>
      <c r="AH60" s="51">
        <f t="shared" si="75"/>
        <v>1.003843129854219</v>
      </c>
      <c r="AI60" s="51">
        <f t="shared" si="76"/>
        <v>-8.7531274916582941E-2</v>
      </c>
      <c r="AJ60" s="51" t="str">
        <f t="shared" si="56"/>
        <v>1+0.000292518363251006i</v>
      </c>
      <c r="AK60" s="51">
        <f t="shared" si="77"/>
        <v>1.0000000427834954</v>
      </c>
      <c r="AL60" s="51">
        <f t="shared" si="78"/>
        <v>2.9251835490770085E-4</v>
      </c>
      <c r="AM60" s="51" t="e">
        <f t="shared" si="57"/>
        <v>#NUM!</v>
      </c>
      <c r="AN60" s="51" t="e">
        <f t="shared" si="79"/>
        <v>#NUM!</v>
      </c>
      <c r="AO60" s="51" t="e">
        <f t="shared" si="80"/>
        <v>#NUM!</v>
      </c>
      <c r="AP60" s="60" t="e">
        <f t="shared" si="81"/>
        <v>#NUM!</v>
      </c>
      <c r="AQ60" s="51" t="e">
        <f t="shared" si="82"/>
        <v>#NUM!</v>
      </c>
      <c r="AR60" s="63" t="e">
        <f t="shared" si="83"/>
        <v>#NUM!</v>
      </c>
      <c r="AS60" s="32" t="str">
        <f t="shared" si="58"/>
        <v>-0.000170731707317073</v>
      </c>
      <c r="AT60" s="32" t="str">
        <f t="shared" si="59"/>
        <v>6.28005525623629E-06i</v>
      </c>
      <c r="AU60" s="32">
        <f t="shared" si="84"/>
        <v>6.2800552562362897E-6</v>
      </c>
      <c r="AV60" s="32">
        <f t="shared" si="85"/>
        <v>1.5707963267948966</v>
      </c>
      <c r="AW60" s="32" t="str">
        <f t="shared" si="60"/>
        <v>1+0.00133707769250504i</v>
      </c>
      <c r="AX60" s="32">
        <f t="shared" si="86"/>
        <v>1.0000008938879783</v>
      </c>
      <c r="AY60" s="32">
        <f t="shared" si="87"/>
        <v>1.3370768957070881E-3</v>
      </c>
      <c r="AZ60" s="32" t="str">
        <f t="shared" si="61"/>
        <v>1+0.0254044761575958i</v>
      </c>
      <c r="BA60" s="32">
        <f t="shared" si="88"/>
        <v>1.0003226416556019</v>
      </c>
      <c r="BB60" s="32">
        <f t="shared" si="89"/>
        <v>2.5399013029926656E-2</v>
      </c>
      <c r="BC60" s="60" t="str">
        <f t="shared" si="90"/>
        <v>-0.654303269141087+27.1872132463968i</v>
      </c>
      <c r="BD60" s="51">
        <f t="shared" si="91"/>
        <v>28.689808580003163</v>
      </c>
      <c r="BE60" s="63">
        <f t="shared" si="92"/>
        <v>91.378647387404115</v>
      </c>
      <c r="BF60" s="60" t="str">
        <f t="shared" si="93"/>
        <v>24.5654855769551+632.024100037661i</v>
      </c>
      <c r="BG60" s="66">
        <f t="shared" si="94"/>
        <v>56.021228792493851</v>
      </c>
      <c r="BH60" s="63">
        <f t="shared" si="95"/>
        <v>87.774150528366476</v>
      </c>
      <c r="BI60" s="60" t="e">
        <f t="shared" si="101"/>
        <v>#NUM!</v>
      </c>
      <c r="BJ60" s="66" t="e">
        <f t="shared" si="97"/>
        <v>#NUM!</v>
      </c>
      <c r="BK60" s="63" t="e">
        <f t="shared" si="102"/>
        <v>#NUM!</v>
      </c>
      <c r="BL60" s="51">
        <f t="shared" si="99"/>
        <v>56.021228792493851</v>
      </c>
      <c r="BM60" s="63">
        <f t="shared" si="100"/>
        <v>87.774150528366476</v>
      </c>
    </row>
    <row r="61" spans="1:65" x14ac:dyDescent="0.3">
      <c r="A61" s="32" t="s">
        <v>230</v>
      </c>
      <c r="B61" s="1">
        <f>(CCOMP+CHF)/(RCOMP*CHF*CCOMP)</f>
        <v>123601.3531095498</v>
      </c>
      <c r="E61" s="32" t="s">
        <v>240</v>
      </c>
      <c r="N61" s="11">
        <v>43</v>
      </c>
      <c r="O61" s="52">
        <f t="shared" si="62"/>
        <v>26.915348039269158</v>
      </c>
      <c r="P61" s="50" t="str">
        <f t="shared" si="50"/>
        <v>23.3035714285714</v>
      </c>
      <c r="Q61" s="18" t="str">
        <f t="shared" si="51"/>
        <v>1+0.0641425695488981i</v>
      </c>
      <c r="R61" s="18">
        <f t="shared" si="63"/>
        <v>1.0020550230542908</v>
      </c>
      <c r="S61" s="18">
        <f t="shared" si="64"/>
        <v>6.4054819463702894E-2</v>
      </c>
      <c r="T61" s="18" t="str">
        <f t="shared" si="52"/>
        <v>1+0.000299331991228191i</v>
      </c>
      <c r="U61" s="18">
        <f t="shared" si="65"/>
        <v>1.0000000447998194</v>
      </c>
      <c r="V61" s="18">
        <f t="shared" si="66"/>
        <v>2.9933198228817849E-4</v>
      </c>
      <c r="W61" s="32" t="str">
        <f t="shared" si="53"/>
        <v>1-0.000413390069492794i</v>
      </c>
      <c r="X61" s="18">
        <f t="shared" si="67"/>
        <v>1.0000000854456712</v>
      </c>
      <c r="Y61" s="18">
        <f t="shared" si="68"/>
        <v>-4.1339004594453412E-4</v>
      </c>
      <c r="Z61" s="32" t="str">
        <f t="shared" si="54"/>
        <v>0.999999997102256+0.000202890436822735i</v>
      </c>
      <c r="AA61" s="18">
        <f t="shared" si="69"/>
        <v>1.0000000176845205</v>
      </c>
      <c r="AB61" s="18">
        <f t="shared" si="70"/>
        <v>2.0289043462669648E-4</v>
      </c>
      <c r="AC61" s="68" t="str">
        <f t="shared" si="71"/>
        <v>23.2076167386227-1.49598220339792i</v>
      </c>
      <c r="AD61" s="66">
        <f t="shared" si="72"/>
        <v>27.330619283288428</v>
      </c>
      <c r="AE61" s="63">
        <f t="shared" si="73"/>
        <v>-3.6882306240172626</v>
      </c>
      <c r="AF61" s="51" t="e">
        <f t="shared" si="74"/>
        <v>#NUM!</v>
      </c>
      <c r="AG61" s="51" t="str">
        <f t="shared" si="55"/>
        <v>1-0.0897995973684575i</v>
      </c>
      <c r="AH61" s="51">
        <f t="shared" si="75"/>
        <v>1.0040238880064245</v>
      </c>
      <c r="AI61" s="51">
        <f t="shared" si="76"/>
        <v>-8.9559378222850344E-2</v>
      </c>
      <c r="AJ61" s="51" t="str">
        <f t="shared" si="56"/>
        <v>1+0.000299331991228191i</v>
      </c>
      <c r="AK61" s="51">
        <f t="shared" si="77"/>
        <v>1.0000000447998194</v>
      </c>
      <c r="AL61" s="51">
        <f t="shared" si="78"/>
        <v>2.9933198228817849E-4</v>
      </c>
      <c r="AM61" s="51" t="e">
        <f t="shared" si="57"/>
        <v>#NUM!</v>
      </c>
      <c r="AN61" s="51" t="e">
        <f t="shared" si="79"/>
        <v>#NUM!</v>
      </c>
      <c r="AO61" s="51" t="e">
        <f t="shared" si="80"/>
        <v>#NUM!</v>
      </c>
      <c r="AP61" s="60" t="e">
        <f t="shared" si="81"/>
        <v>#NUM!</v>
      </c>
      <c r="AQ61" s="51" t="e">
        <f t="shared" si="82"/>
        <v>#NUM!</v>
      </c>
      <c r="AR61" s="63" t="e">
        <f t="shared" si="83"/>
        <v>#NUM!</v>
      </c>
      <c r="AS61" s="32" t="str">
        <f t="shared" si="58"/>
        <v>-0.000170731707317073</v>
      </c>
      <c r="AT61" s="32" t="str">
        <f t="shared" si="59"/>
        <v>6.42633653484251E-06i</v>
      </c>
      <c r="AU61" s="32">
        <f t="shared" si="84"/>
        <v>6.4263365348425102E-6</v>
      </c>
      <c r="AV61" s="32">
        <f t="shared" si="85"/>
        <v>1.5707963267948966</v>
      </c>
      <c r="AW61" s="32" t="str">
        <f t="shared" si="60"/>
        <v>1+0.00136822223287533i</v>
      </c>
      <c r="AX61" s="32">
        <f t="shared" si="86"/>
        <v>1.0000009360156012</v>
      </c>
      <c r="AY61" s="32">
        <f t="shared" si="87"/>
        <v>1.3682213790909856E-3</v>
      </c>
      <c r="AZ61" s="32" t="str">
        <f t="shared" si="61"/>
        <v>1+0.0259962224246314i</v>
      </c>
      <c r="BA61" s="32">
        <f t="shared" si="88"/>
        <v>1.0003378447206479</v>
      </c>
      <c r="BB61" s="32">
        <f t="shared" si="89"/>
        <v>2.5990368684638485E-2</v>
      </c>
      <c r="BC61" s="60" t="str">
        <f t="shared" si="90"/>
        <v>-0.65430321401266+26.5683970104563i</v>
      </c>
      <c r="BD61" s="51">
        <f t="shared" si="91"/>
        <v>28.48994022263787</v>
      </c>
      <c r="BE61" s="63">
        <f t="shared" si="92"/>
        <v>91.410745123157284</v>
      </c>
      <c r="BF61" s="60" t="str">
        <f t="shared" si="93"/>
        <v>24.5610308787983+617.568001142028i</v>
      </c>
      <c r="BG61" s="66">
        <f t="shared" si="94"/>
        <v>55.820559505926298</v>
      </c>
      <c r="BH61" s="63">
        <f t="shared" si="95"/>
        <v>87.722514499140019</v>
      </c>
      <c r="BI61" s="60" t="e">
        <f t="shared" si="101"/>
        <v>#NUM!</v>
      </c>
      <c r="BJ61" s="66" t="e">
        <f t="shared" si="97"/>
        <v>#NUM!</v>
      </c>
      <c r="BK61" s="63" t="e">
        <f t="shared" si="102"/>
        <v>#NUM!</v>
      </c>
      <c r="BL61" s="51">
        <f t="shared" si="99"/>
        <v>55.820559505926298</v>
      </c>
      <c r="BM61" s="63">
        <f t="shared" si="100"/>
        <v>87.722514499140019</v>
      </c>
    </row>
    <row r="62" spans="1:65" x14ac:dyDescent="0.3">
      <c r="N62" s="11">
        <v>44</v>
      </c>
      <c r="O62" s="52">
        <f t="shared" si="62"/>
        <v>27.542287033381665</v>
      </c>
      <c r="P62" s="50" t="str">
        <f t="shared" si="50"/>
        <v>23.3035714285714</v>
      </c>
      <c r="Q62" s="18" t="str">
        <f t="shared" si="51"/>
        <v>1+0.0656366419262684i</v>
      </c>
      <c r="R62" s="18">
        <f t="shared" si="63"/>
        <v>1.0021517693260624</v>
      </c>
      <c r="S62" s="18">
        <f t="shared" si="64"/>
        <v>6.5542626916235774E-2</v>
      </c>
      <c r="T62" s="18" t="str">
        <f t="shared" si="52"/>
        <v>1+0.000306304328989253i</v>
      </c>
      <c r="U62" s="18">
        <f t="shared" si="65"/>
        <v>1.0000000469111698</v>
      </c>
      <c r="V62" s="18">
        <f t="shared" si="66"/>
        <v>3.0630431940985704E-4</v>
      </c>
      <c r="W62" s="32" t="str">
        <f t="shared" si="53"/>
        <v>1-0.000423019161190431i</v>
      </c>
      <c r="X62" s="18">
        <f t="shared" si="67"/>
        <v>1.0000000894726013</v>
      </c>
      <c r="Y62" s="18">
        <f t="shared" si="68"/>
        <v>-4.2301913595801607E-4</v>
      </c>
      <c r="Z62" s="32" t="str">
        <f t="shared" si="54"/>
        <v>0.99999999696569+0.000207616362201486i</v>
      </c>
      <c r="AA62" s="18">
        <f t="shared" si="69"/>
        <v>1.0000000185179667</v>
      </c>
      <c r="AB62" s="18">
        <f t="shared" si="70"/>
        <v>2.0761635984838824E-4</v>
      </c>
      <c r="AC62" s="68" t="str">
        <f t="shared" si="71"/>
        <v>23.2031139322554-1.53053255623986i</v>
      </c>
      <c r="AD62" s="66">
        <f t="shared" si="72"/>
        <v>27.329780765756947</v>
      </c>
      <c r="AE62" s="63">
        <f t="shared" si="73"/>
        <v>-3.7738987080728981</v>
      </c>
      <c r="AF62" s="51" t="e">
        <f t="shared" si="74"/>
        <v>#NUM!</v>
      </c>
      <c r="AG62" s="51" t="str">
        <f t="shared" si="55"/>
        <v>1-0.091891298696776i</v>
      </c>
      <c r="AH62" s="51">
        <f t="shared" si="75"/>
        <v>1.0042131301552375</v>
      </c>
      <c r="AI62" s="51">
        <f t="shared" si="76"/>
        <v>-9.1633957533432453E-2</v>
      </c>
      <c r="AJ62" s="51" t="str">
        <f t="shared" si="56"/>
        <v>1+0.000306304328989253i</v>
      </c>
      <c r="AK62" s="51">
        <f t="shared" si="77"/>
        <v>1.0000000469111698</v>
      </c>
      <c r="AL62" s="51">
        <f t="shared" si="78"/>
        <v>3.0630431940985704E-4</v>
      </c>
      <c r="AM62" s="51" t="e">
        <f t="shared" si="57"/>
        <v>#NUM!</v>
      </c>
      <c r="AN62" s="51" t="e">
        <f t="shared" si="79"/>
        <v>#NUM!</v>
      </c>
      <c r="AO62" s="51" t="e">
        <f t="shared" si="80"/>
        <v>#NUM!</v>
      </c>
      <c r="AP62" s="60" t="e">
        <f t="shared" si="81"/>
        <v>#NUM!</v>
      </c>
      <c r="AQ62" s="51" t="e">
        <f t="shared" si="82"/>
        <v>#NUM!</v>
      </c>
      <c r="AR62" s="63" t="e">
        <f t="shared" si="83"/>
        <v>#NUM!</v>
      </c>
      <c r="AS62" s="32" t="str">
        <f t="shared" si="58"/>
        <v>-0.000170731707317073</v>
      </c>
      <c r="AT62" s="32" t="str">
        <f t="shared" si="59"/>
        <v>6.57602514214213E-06i</v>
      </c>
      <c r="AU62" s="32">
        <f t="shared" si="84"/>
        <v>6.5760251421421297E-6</v>
      </c>
      <c r="AV62" s="32">
        <f t="shared" si="85"/>
        <v>1.5707963267948966</v>
      </c>
      <c r="AW62" s="32" t="str">
        <f t="shared" si="60"/>
        <v>1+0.00140009222278406i</v>
      </c>
      <c r="AX62" s="32">
        <f t="shared" si="86"/>
        <v>1.0000009801286358</v>
      </c>
      <c r="AY62" s="32">
        <f t="shared" si="87"/>
        <v>1.4000913079377007E-3</v>
      </c>
      <c r="AZ62" s="32" t="str">
        <f t="shared" si="61"/>
        <v>1+0.0266017522328971i</v>
      </c>
      <c r="BA62" s="32">
        <f t="shared" si="88"/>
        <v>1.0003537640364335</v>
      </c>
      <c r="BB62" s="32">
        <f t="shared" si="89"/>
        <v>2.6595479957281176E-2</v>
      </c>
      <c r="BC62" s="60" t="str">
        <f t="shared" si="90"/>
        <v>-0.654303156286117+25.9636676902779i</v>
      </c>
      <c r="BD62" s="51">
        <f t="shared" si="91"/>
        <v>28.290078065098307</v>
      </c>
      <c r="BE62" s="63">
        <f t="shared" si="92"/>
        <v>91.4435894327992</v>
      </c>
      <c r="BF62" s="60" t="str">
        <f t="shared" si="93"/>
        <v>24.5563679978222+603.439371799083i</v>
      </c>
      <c r="BG62" s="66">
        <f t="shared" si="94"/>
        <v>55.619858830855264</v>
      </c>
      <c r="BH62" s="63">
        <f t="shared" si="95"/>
        <v>87.669690724726308</v>
      </c>
      <c r="BI62" s="60" t="e">
        <f t="shared" si="101"/>
        <v>#NUM!</v>
      </c>
      <c r="BJ62" s="66" t="e">
        <f t="shared" si="97"/>
        <v>#NUM!</v>
      </c>
      <c r="BK62" s="63" t="e">
        <f t="shared" si="102"/>
        <v>#NUM!</v>
      </c>
      <c r="BL62" s="51">
        <f t="shared" si="99"/>
        <v>55.619858830855264</v>
      </c>
      <c r="BM62" s="63">
        <f t="shared" si="100"/>
        <v>87.669690724726308</v>
      </c>
    </row>
    <row r="63" spans="1:65" x14ac:dyDescent="0.3">
      <c r="N63" s="11">
        <v>45</v>
      </c>
      <c r="O63" s="52">
        <f t="shared" si="62"/>
        <v>28.183829312644548</v>
      </c>
      <c r="P63" s="50" t="str">
        <f t="shared" si="50"/>
        <v>23.3035714285714</v>
      </c>
      <c r="Q63" s="18" t="str">
        <f t="shared" si="51"/>
        <v>1+0.0671655157199916i</v>
      </c>
      <c r="R63" s="18">
        <f t="shared" si="63"/>
        <v>1.0022530650997943</v>
      </c>
      <c r="S63" s="18">
        <f t="shared" si="64"/>
        <v>6.7064789048632736E-2</v>
      </c>
      <c r="T63" s="18" t="str">
        <f t="shared" si="52"/>
        <v>1+0.000313439073359961i</v>
      </c>
      <c r="U63" s="18">
        <f t="shared" si="65"/>
        <v>1.0000000491220251</v>
      </c>
      <c r="V63" s="18">
        <f t="shared" si="66"/>
        <v>3.1343906309545333E-4</v>
      </c>
      <c r="W63" s="32" t="str">
        <f t="shared" si="53"/>
        <v>1-0.00043287254324665i</v>
      </c>
      <c r="X63" s="18">
        <f t="shared" si="67"/>
        <v>1.000000093689315</v>
      </c>
      <c r="Y63" s="18">
        <f t="shared" si="68"/>
        <v>-4.3287251620963038E-4</v>
      </c>
      <c r="Z63" s="32" t="str">
        <f t="shared" si="54"/>
        <v>0.999999996822687+0.000212452368523604i</v>
      </c>
      <c r="AA63" s="18">
        <f t="shared" si="69"/>
        <v>1.0000000193906913</v>
      </c>
      <c r="AB63" s="18">
        <f t="shared" si="70"/>
        <v>2.1245236600221439E-4</v>
      </c>
      <c r="AC63" s="68" t="str">
        <f t="shared" si="71"/>
        <v>23.1984007783228-1.56586667785958i</v>
      </c>
      <c r="AD63" s="66">
        <f t="shared" si="72"/>
        <v>27.328902903618481</v>
      </c>
      <c r="AE63" s="63">
        <f t="shared" si="73"/>
        <v>-3.8615450231374466</v>
      </c>
      <c r="AF63" s="51" t="e">
        <f t="shared" si="74"/>
        <v>#NUM!</v>
      </c>
      <c r="AG63" s="51" t="str">
        <f t="shared" si="55"/>
        <v>1-0.0940317220079885i</v>
      </c>
      <c r="AH63" s="51">
        <f t="shared" si="75"/>
        <v>1.0044112527962774</v>
      </c>
      <c r="AI63" s="51">
        <f t="shared" si="76"/>
        <v>-9.3756041348329835E-2</v>
      </c>
      <c r="AJ63" s="51" t="str">
        <f t="shared" si="56"/>
        <v>1+0.000313439073359961i</v>
      </c>
      <c r="AK63" s="51">
        <f t="shared" si="77"/>
        <v>1.0000000491220251</v>
      </c>
      <c r="AL63" s="51">
        <f t="shared" si="78"/>
        <v>3.1343906309545333E-4</v>
      </c>
      <c r="AM63" s="51" t="e">
        <f t="shared" si="57"/>
        <v>#NUM!</v>
      </c>
      <c r="AN63" s="51" t="e">
        <f t="shared" si="79"/>
        <v>#NUM!</v>
      </c>
      <c r="AO63" s="51" t="e">
        <f t="shared" si="80"/>
        <v>#NUM!</v>
      </c>
      <c r="AP63" s="60" t="e">
        <f t="shared" si="81"/>
        <v>#NUM!</v>
      </c>
      <c r="AQ63" s="51" t="e">
        <f t="shared" si="82"/>
        <v>#NUM!</v>
      </c>
      <c r="AR63" s="63" t="e">
        <f t="shared" si="83"/>
        <v>#NUM!</v>
      </c>
      <c r="AS63" s="32" t="str">
        <f t="shared" si="58"/>
        <v>-0.000170731707317073</v>
      </c>
      <c r="AT63" s="32" t="str">
        <f t="shared" si="59"/>
        <v>6.72920044501609E-06i</v>
      </c>
      <c r="AU63" s="32">
        <f t="shared" si="84"/>
        <v>6.7292004450160899E-6</v>
      </c>
      <c r="AV63" s="32">
        <f t="shared" si="85"/>
        <v>1.5707963267948966</v>
      </c>
      <c r="AW63" s="32" t="str">
        <f t="shared" si="60"/>
        <v>1+0.00143270456012171i</v>
      </c>
      <c r="AX63" s="32">
        <f t="shared" si="86"/>
        <v>1.0000010263206516</v>
      </c>
      <c r="AY63" s="32">
        <f t="shared" si="87"/>
        <v>1.4327035798462292E-3</v>
      </c>
      <c r="AZ63" s="32" t="str">
        <f t="shared" si="61"/>
        <v>1+0.0272213866423125i</v>
      </c>
      <c r="BA63" s="32">
        <f t="shared" si="88"/>
        <v>1.0003704333349372</v>
      </c>
      <c r="BB63" s="32">
        <f t="shared" si="89"/>
        <v>2.7214665912307454E-2</v>
      </c>
      <c r="BC63" s="60" t="str">
        <f t="shared" si="90"/>
        <v>-0.654303095839017+25.3727046503708i</v>
      </c>
      <c r="BD63" s="51">
        <f t="shared" si="91"/>
        <v>28.090222399158591</v>
      </c>
      <c r="BE63" s="63">
        <f t="shared" si="92"/>
        <v>91.477197629215297</v>
      </c>
      <c r="BF63" s="60" t="str">
        <f t="shared" si="93"/>
        <v>24.5514872914176+589.630722724311i</v>
      </c>
      <c r="BG63" s="66">
        <f t="shared" si="94"/>
        <v>55.419125302777068</v>
      </c>
      <c r="BH63" s="63">
        <f t="shared" si="95"/>
        <v>87.615652606077859</v>
      </c>
      <c r="BI63" s="60" t="e">
        <f t="shared" si="101"/>
        <v>#NUM!</v>
      </c>
      <c r="BJ63" s="66" t="e">
        <f t="shared" si="97"/>
        <v>#NUM!</v>
      </c>
      <c r="BK63" s="63" t="e">
        <f t="shared" si="102"/>
        <v>#NUM!</v>
      </c>
      <c r="BL63" s="51">
        <f t="shared" si="99"/>
        <v>55.419125302777068</v>
      </c>
      <c r="BM63" s="63">
        <f t="shared" si="100"/>
        <v>87.615652606077859</v>
      </c>
    </row>
    <row r="64" spans="1:65" x14ac:dyDescent="0.3">
      <c r="N64" s="11">
        <v>46</v>
      </c>
      <c r="O64" s="52">
        <f t="shared" si="62"/>
        <v>28.840315031266066</v>
      </c>
      <c r="P64" s="50" t="str">
        <f t="shared" si="50"/>
        <v>23.3035714285714</v>
      </c>
      <c r="Q64" s="18" t="str">
        <f t="shared" si="51"/>
        <v>1+0.0687300015591902i</v>
      </c>
      <c r="R64" s="18">
        <f t="shared" si="63"/>
        <v>1.0023591238245533</v>
      </c>
      <c r="S64" s="18">
        <f t="shared" si="64"/>
        <v>6.8622084700998426E-2</v>
      </c>
      <c r="T64" s="18" t="str">
        <f t="shared" si="52"/>
        <v>1+0.000320740007276221i</v>
      </c>
      <c r="U64" s="18">
        <f t="shared" si="65"/>
        <v>1.0000000514370748</v>
      </c>
      <c r="V64" s="18">
        <f t="shared" si="66"/>
        <v>3.207399962776029E-4</v>
      </c>
      <c r="W64" s="32" t="str">
        <f t="shared" si="53"/>
        <v>1-0.000442955440055045i</v>
      </c>
      <c r="X64" s="18">
        <f t="shared" si="67"/>
        <v>1.0000000981047561</v>
      </c>
      <c r="Y64" s="18">
        <f t="shared" si="68"/>
        <v>-4.4295541108435669E-4</v>
      </c>
      <c r="Z64" s="32" t="str">
        <f t="shared" si="54"/>
        <v>0.999999996672945+0.000217401019903652i</v>
      </c>
      <c r="AA64" s="18">
        <f t="shared" si="69"/>
        <v>1.0000000203045465</v>
      </c>
      <c r="AB64" s="18">
        <f t="shared" si="70"/>
        <v>2.1740101720193434E-4</v>
      </c>
      <c r="AC64" s="68" t="str">
        <f t="shared" si="71"/>
        <v>23.1934675419645-1.60200133697456i</v>
      </c>
      <c r="AD64" s="66">
        <f t="shared" si="72"/>
        <v>27.32798385928146</v>
      </c>
      <c r="AE64" s="63">
        <f t="shared" si="73"/>
        <v>-3.9512144229638544</v>
      </c>
      <c r="AF64" s="51" t="e">
        <f t="shared" si="74"/>
        <v>#NUM!</v>
      </c>
      <c r="AG64" s="51" t="str">
        <f t="shared" si="55"/>
        <v>1-0.0962220021828666i</v>
      </c>
      <c r="AH64" s="51">
        <f t="shared" si="75"/>
        <v>1.004618670792097</v>
      </c>
      <c r="AI64" s="51">
        <f t="shared" si="76"/>
        <v>-9.5926678332255599E-2</v>
      </c>
      <c r="AJ64" s="51" t="str">
        <f t="shared" si="56"/>
        <v>1+0.000320740007276221i</v>
      </c>
      <c r="AK64" s="51">
        <f t="shared" si="77"/>
        <v>1.0000000514370748</v>
      </c>
      <c r="AL64" s="51">
        <f t="shared" si="78"/>
        <v>3.207399962776029E-4</v>
      </c>
      <c r="AM64" s="51" t="e">
        <f t="shared" si="57"/>
        <v>#NUM!</v>
      </c>
      <c r="AN64" s="51" t="e">
        <f t="shared" si="79"/>
        <v>#NUM!</v>
      </c>
      <c r="AO64" s="51" t="e">
        <f t="shared" si="80"/>
        <v>#NUM!</v>
      </c>
      <c r="AP64" s="60" t="e">
        <f t="shared" si="81"/>
        <v>#NUM!</v>
      </c>
      <c r="AQ64" s="51" t="e">
        <f t="shared" si="82"/>
        <v>#NUM!</v>
      </c>
      <c r="AR64" s="63" t="e">
        <f t="shared" si="83"/>
        <v>#NUM!</v>
      </c>
      <c r="AS64" s="32" t="str">
        <f t="shared" si="58"/>
        <v>-0.000170731707317073</v>
      </c>
      <c r="AT64" s="32" t="str">
        <f t="shared" si="59"/>
        <v>0.0000068859436590375i</v>
      </c>
      <c r="AU64" s="32">
        <f t="shared" si="84"/>
        <v>6.8859436590375004E-6</v>
      </c>
      <c r="AV64" s="32">
        <f t="shared" si="85"/>
        <v>1.5707963267948966</v>
      </c>
      <c r="AW64" s="32" t="str">
        <f t="shared" si="60"/>
        <v>1+0.00146607653638123i</v>
      </c>
      <c r="AX64" s="32">
        <f t="shared" si="86"/>
        <v>1.0000010746896277</v>
      </c>
      <c r="AY64" s="32">
        <f t="shared" si="87"/>
        <v>1.4660754859971887E-3</v>
      </c>
      <c r="AZ64" s="32" t="str">
        <f t="shared" si="61"/>
        <v>1+0.0278554541912434i</v>
      </c>
      <c r="BA64" s="32">
        <f t="shared" si="88"/>
        <v>1.000387887935575</v>
      </c>
      <c r="BB64" s="32">
        <f t="shared" si="89"/>
        <v>2.7848252950095461E-2</v>
      </c>
      <c r="BC64" s="60" t="str">
        <f t="shared" si="90"/>
        <v>-0.654303032543146+24.7951945543089i</v>
      </c>
      <c r="BD64" s="51">
        <f t="shared" si="91"/>
        <v>27.890373530304021</v>
      </c>
      <c r="BE64" s="63">
        <f t="shared" si="92"/>
        <v>91.511587423057975</v>
      </c>
      <c r="BF64" s="60" t="str">
        <f t="shared" si="93"/>
        <v>24.5463786786488+576.134734424979i</v>
      </c>
      <c r="BG64" s="66">
        <f t="shared" si="94"/>
        <v>55.218357389585478</v>
      </c>
      <c r="BH64" s="63">
        <f t="shared" si="95"/>
        <v>87.560373000094131</v>
      </c>
      <c r="BI64" s="60" t="e">
        <f t="shared" si="101"/>
        <v>#NUM!</v>
      </c>
      <c r="BJ64" s="66" t="e">
        <f t="shared" si="97"/>
        <v>#NUM!</v>
      </c>
      <c r="BK64" s="63" t="e">
        <f t="shared" si="102"/>
        <v>#NUM!</v>
      </c>
      <c r="BL64" s="51">
        <f t="shared" si="99"/>
        <v>55.218357389585478</v>
      </c>
      <c r="BM64" s="63">
        <f t="shared" si="100"/>
        <v>87.560373000094131</v>
      </c>
    </row>
    <row r="65" spans="1:65" x14ac:dyDescent="0.3">
      <c r="A65" s="70" t="s">
        <v>474</v>
      </c>
      <c r="N65" s="11">
        <v>47</v>
      </c>
      <c r="O65" s="52">
        <f t="shared" si="62"/>
        <v>29.512092266663863</v>
      </c>
      <c r="P65" s="50" t="str">
        <f t="shared" si="50"/>
        <v>23.3035714285714</v>
      </c>
      <c r="Q65" s="18" t="str">
        <f t="shared" si="51"/>
        <v>1+0.0703309289549646i</v>
      </c>
      <c r="R65" s="18">
        <f t="shared" si="63"/>
        <v>1.002470168916596</v>
      </c>
      <c r="S65" s="18">
        <f t="shared" si="64"/>
        <v>7.0215309341459448E-2</v>
      </c>
      <c r="T65" s="18" t="str">
        <f t="shared" si="52"/>
        <v>1+0.000328211001789835i</v>
      </c>
      <c r="U65" s="18">
        <f t="shared" si="65"/>
        <v>1.0000000538612293</v>
      </c>
      <c r="V65" s="18">
        <f t="shared" si="66"/>
        <v>3.2821099000460342E-4</v>
      </c>
      <c r="W65" s="32" t="str">
        <f t="shared" si="53"/>
        <v>1-0.000453273197700965i</v>
      </c>
      <c r="X65" s="18">
        <f t="shared" si="67"/>
        <v>1.0000001027282905</v>
      </c>
      <c r="Y65" s="18">
        <f t="shared" si="68"/>
        <v>-4.5327316665831337E-4</v>
      </c>
      <c r="Z65" s="32" t="str">
        <f t="shared" si="54"/>
        <v>0.999999996516146+0.000222464940182096i</v>
      </c>
      <c r="AA65" s="18">
        <f t="shared" si="69"/>
        <v>1.0000000212614706</v>
      </c>
      <c r="AB65" s="18">
        <f t="shared" si="70"/>
        <v>2.2246493728715332E-4</v>
      </c>
      <c r="AC65" s="68" t="str">
        <f t="shared" si="71"/>
        <v>23.1883040465704-1.6389535883415i</v>
      </c>
      <c r="AD65" s="66">
        <f t="shared" si="72"/>
        <v>27.327021710147452</v>
      </c>
      <c r="AE65" s="63">
        <f t="shared" si="73"/>
        <v>-4.0429527193663066</v>
      </c>
      <c r="AF65" s="51" t="e">
        <f t="shared" si="74"/>
        <v>#NUM!</v>
      </c>
      <c r="AG65" s="51" t="str">
        <f t="shared" si="55"/>
        <v>1-0.0984633005369507i</v>
      </c>
      <c r="AH65" s="51">
        <f t="shared" si="75"/>
        <v>1.0048358182074473</v>
      </c>
      <c r="AI65" s="51">
        <f t="shared" si="76"/>
        <v>-9.8146937522081631E-2</v>
      </c>
      <c r="AJ65" s="51" t="str">
        <f t="shared" si="56"/>
        <v>1+0.000328211001789835i</v>
      </c>
      <c r="AK65" s="51">
        <f t="shared" si="77"/>
        <v>1.0000000538612293</v>
      </c>
      <c r="AL65" s="51">
        <f t="shared" si="78"/>
        <v>3.2821099000460342E-4</v>
      </c>
      <c r="AM65" s="51" t="e">
        <f t="shared" si="57"/>
        <v>#NUM!</v>
      </c>
      <c r="AN65" s="51" t="e">
        <f t="shared" si="79"/>
        <v>#NUM!</v>
      </c>
      <c r="AO65" s="51" t="e">
        <f t="shared" si="80"/>
        <v>#NUM!</v>
      </c>
      <c r="AP65" s="60" t="e">
        <f t="shared" si="81"/>
        <v>#NUM!</v>
      </c>
      <c r="AQ65" s="51" t="e">
        <f t="shared" si="82"/>
        <v>#NUM!</v>
      </c>
      <c r="AR65" s="63" t="e">
        <f t="shared" si="83"/>
        <v>#NUM!</v>
      </c>
      <c r="AS65" s="32" t="str">
        <f t="shared" si="58"/>
        <v>-0.000170731707317073</v>
      </c>
      <c r="AT65" s="32" t="str">
        <f t="shared" si="59"/>
        <v>7.04633789153317E-06i</v>
      </c>
      <c r="AU65" s="32">
        <f t="shared" si="84"/>
        <v>7.0463378915331701E-6</v>
      </c>
      <c r="AV65" s="32">
        <f t="shared" si="85"/>
        <v>1.5707963267948966</v>
      </c>
      <c r="AW65" s="32" t="str">
        <f t="shared" si="60"/>
        <v>1+0.00150022584582615i</v>
      </c>
      <c r="AX65" s="32">
        <f t="shared" si="86"/>
        <v>1.0000011253381611</v>
      </c>
      <c r="AY65" s="32">
        <f t="shared" si="87"/>
        <v>1.5002247203194403E-3</v>
      </c>
      <c r="AZ65" s="32" t="str">
        <f t="shared" si="61"/>
        <v>1+0.0285042910706969i</v>
      </c>
      <c r="BA65" s="32">
        <f t="shared" si="88"/>
        <v>1.0004061648197911</v>
      </c>
      <c r="BB65" s="32">
        <f t="shared" si="89"/>
        <v>2.849657497097444E-2</v>
      </c>
      <c r="BC65" s="60" t="str">
        <f t="shared" si="90"/>
        <v>-0.654302966264243+24.230831198594i</v>
      </c>
      <c r="BD65" s="51">
        <f t="shared" si="91"/>
        <v>27.690531778372829</v>
      </c>
      <c r="BE65" s="63">
        <f t="shared" si="92"/>
        <v>91.546776931619476</v>
      </c>
      <c r="BF65" s="60" t="str">
        <f t="shared" si="93"/>
        <v>24.5410316211246+562.944253328543i</v>
      </c>
      <c r="BG65" s="66">
        <f t="shared" si="94"/>
        <v>55.017553488520292</v>
      </c>
      <c r="BH65" s="63">
        <f t="shared" si="95"/>
        <v>87.503824212253178</v>
      </c>
      <c r="BI65" s="60" t="e">
        <f t="shared" si="101"/>
        <v>#NUM!</v>
      </c>
      <c r="BJ65" s="66" t="e">
        <f t="shared" si="97"/>
        <v>#NUM!</v>
      </c>
      <c r="BK65" s="63" t="e">
        <f t="shared" si="102"/>
        <v>#NUM!</v>
      </c>
      <c r="BL65" s="51">
        <f t="shared" si="99"/>
        <v>55.017553488520292</v>
      </c>
      <c r="BM65" s="63">
        <f t="shared" si="100"/>
        <v>87.503824212253178</v>
      </c>
    </row>
    <row r="66" spans="1:65" x14ac:dyDescent="0.3">
      <c r="A66" t="s">
        <v>502</v>
      </c>
      <c r="B66" t="e">
        <f>SQRT((2*IOUT*Lm*Fsw*(VOUT-VIN_var)/(VIN_var^2)))</f>
        <v>#NUM!</v>
      </c>
      <c r="E66" t="s">
        <v>503</v>
      </c>
      <c r="N66" s="11">
        <v>48</v>
      </c>
      <c r="O66" s="52">
        <f t="shared" si="62"/>
        <v>30.199517204020164</v>
      </c>
      <c r="P66" s="50" t="str">
        <f t="shared" si="50"/>
        <v>23.3035714285714</v>
      </c>
      <c r="Q66" s="18" t="str">
        <f t="shared" si="51"/>
        <v>1+0.0719691467402109i</v>
      </c>
      <c r="R66" s="18">
        <f t="shared" si="63"/>
        <v>1.0025864342202691</v>
      </c>
      <c r="S66" s="18">
        <f t="shared" si="64"/>
        <v>7.1845275347150739E-2</v>
      </c>
      <c r="T66" s="18" t="str">
        <f t="shared" si="52"/>
        <v>1+0.000335856018120984i</v>
      </c>
      <c r="U66" s="18">
        <f t="shared" si="65"/>
        <v>1.0000000563996307</v>
      </c>
      <c r="V66" s="18">
        <f t="shared" si="66"/>
        <v>3.3585600549288083E-4</v>
      </c>
      <c r="W66" s="32" t="str">
        <f t="shared" si="53"/>
        <v>1-0.000463831286796086i</v>
      </c>
      <c r="X66" s="18">
        <f t="shared" si="67"/>
        <v>1.0000001075697256</v>
      </c>
      <c r="Y66" s="18">
        <f t="shared" si="68"/>
        <v>-4.6383125353328573E-4</v>
      </c>
      <c r="Z66" s="32" t="str">
        <f t="shared" si="54"/>
        <v>0.999999996351957+0.000227646814316496i</v>
      </c>
      <c r="AA66" s="18">
        <f t="shared" si="69"/>
        <v>1.0000000222634928</v>
      </c>
      <c r="AB66" s="18">
        <f t="shared" si="70"/>
        <v>2.2764681121450903E-4</v>
      </c>
      <c r="AC66" s="68" t="str">
        <f t="shared" si="71"/>
        <v>23.18289965458-1.67674077216315i</v>
      </c>
      <c r="AD66" s="66">
        <f t="shared" si="72"/>
        <v>27.326014444757654</v>
      </c>
      <c r="AE66" s="63">
        <f t="shared" si="73"/>
        <v>-4.1368066984440919</v>
      </c>
      <c r="AF66" s="51" t="e">
        <f t="shared" si="74"/>
        <v>#NUM!</v>
      </c>
      <c r="AG66" s="51" t="str">
        <f t="shared" si="55"/>
        <v>1-0.100756805436295i</v>
      </c>
      <c r="AH66" s="51">
        <f t="shared" si="75"/>
        <v>1.0050631491810489</v>
      </c>
      <c r="AI66" s="51">
        <f t="shared" si="76"/>
        <v>-0.10041790852143101</v>
      </c>
      <c r="AJ66" s="51" t="str">
        <f t="shared" si="56"/>
        <v>1+0.000335856018120984i</v>
      </c>
      <c r="AK66" s="51">
        <f t="shared" si="77"/>
        <v>1.0000000563996307</v>
      </c>
      <c r="AL66" s="51">
        <f t="shared" si="78"/>
        <v>3.3585600549288083E-4</v>
      </c>
      <c r="AM66" s="51" t="e">
        <f t="shared" si="57"/>
        <v>#NUM!</v>
      </c>
      <c r="AN66" s="51" t="e">
        <f t="shared" si="79"/>
        <v>#NUM!</v>
      </c>
      <c r="AO66" s="51" t="e">
        <f t="shared" si="80"/>
        <v>#NUM!</v>
      </c>
      <c r="AP66" s="60" t="e">
        <f t="shared" si="81"/>
        <v>#NUM!</v>
      </c>
      <c r="AQ66" s="51" t="e">
        <f t="shared" si="82"/>
        <v>#NUM!</v>
      </c>
      <c r="AR66" s="63" t="e">
        <f t="shared" si="83"/>
        <v>#NUM!</v>
      </c>
      <c r="AS66" s="32" t="str">
        <f t="shared" si="58"/>
        <v>-0.000170731707317073</v>
      </c>
      <c r="AT66" s="32" t="str">
        <f t="shared" si="59"/>
        <v>7.21046818564823E-06i</v>
      </c>
      <c r="AU66" s="32">
        <f t="shared" si="84"/>
        <v>7.21046818564823E-6</v>
      </c>
      <c r="AV66" s="32">
        <f t="shared" si="85"/>
        <v>1.5707963267948966</v>
      </c>
      <c r="AW66" s="32" t="str">
        <f t="shared" si="60"/>
        <v>1+0.00153517059487236i</v>
      </c>
      <c r="AX66" s="32">
        <f t="shared" si="86"/>
        <v>1.0000011783736833</v>
      </c>
      <c r="AY66" s="32">
        <f t="shared" si="87"/>
        <v>1.535169388870269E-3</v>
      </c>
      <c r="AZ66" s="32" t="str">
        <f t="shared" si="61"/>
        <v>1+0.029168241302575i</v>
      </c>
      <c r="BA66" s="32">
        <f t="shared" si="88"/>
        <v>1.0004253027091454</v>
      </c>
      <c r="BB66" s="32">
        <f t="shared" si="89"/>
        <v>2.9159973542584539E-2</v>
      </c>
      <c r="BC66" s="60" t="str">
        <f t="shared" si="90"/>
        <v>-0.654302896861729+23.6793153503043i</v>
      </c>
      <c r="BD66" s="51">
        <f t="shared" si="91"/>
        <v>27.490697478229002</v>
      </c>
      <c r="BE66" s="63">
        <f t="shared" si="92"/>
        <v>91.58278468788329</v>
      </c>
      <c r="BF66" s="60" t="str">
        <f t="shared" si="93"/>
        <v>24.5354351031175+550.052287999773i</v>
      </c>
      <c r="BG66" s="66">
        <f t="shared" si="94"/>
        <v>54.816711922986656</v>
      </c>
      <c r="BH66" s="63">
        <f t="shared" si="95"/>
        <v>87.4459779894392</v>
      </c>
      <c r="BI66" s="60" t="e">
        <f t="shared" si="101"/>
        <v>#NUM!</v>
      </c>
      <c r="BJ66" s="66" t="e">
        <f t="shared" si="97"/>
        <v>#NUM!</v>
      </c>
      <c r="BK66" s="63" t="e">
        <f t="shared" si="102"/>
        <v>#NUM!</v>
      </c>
      <c r="BL66" s="51">
        <f t="shared" si="99"/>
        <v>54.816711922986656</v>
      </c>
      <c r="BM66" s="63">
        <f t="shared" si="100"/>
        <v>87.4459779894392</v>
      </c>
    </row>
    <row r="67" spans="1:65" x14ac:dyDescent="0.3">
      <c r="A67" s="32" t="s">
        <v>476</v>
      </c>
      <c r="B67" s="32">
        <f>(Fsw*Gcomp)/((R_cs*Acs*(VIN_var/Lm))+((R_sl+Rsl_int)*Isl))</f>
        <v>6.6458211523738875</v>
      </c>
      <c r="C67" s="32" t="s">
        <v>147</v>
      </c>
      <c r="E67" t="s">
        <v>501</v>
      </c>
      <c r="N67" s="11">
        <v>49</v>
      </c>
      <c r="O67" s="52">
        <f t="shared" si="62"/>
        <v>30.902954325135919</v>
      </c>
      <c r="P67" s="50" t="str">
        <f t="shared" si="50"/>
        <v>23.3035714285714</v>
      </c>
      <c r="Q67" s="18" t="str">
        <f t="shared" si="51"/>
        <v>1+0.073645523519683i</v>
      </c>
      <c r="R67" s="18">
        <f t="shared" si="63"/>
        <v>1.0027081644897922</v>
      </c>
      <c r="S67" s="18">
        <f t="shared" si="64"/>
        <v>7.3512812284372717E-2</v>
      </c>
      <c r="T67" s="18" t="str">
        <f t="shared" si="52"/>
        <v>1+0.000343679109758521i</v>
      </c>
      <c r="U67" s="18">
        <f t="shared" si="65"/>
        <v>1.0000000590576634</v>
      </c>
      <c r="V67" s="18">
        <f t="shared" si="66"/>
        <v>3.4367909622726476E-4</v>
      </c>
      <c r="W67" s="32" t="str">
        <f t="shared" si="53"/>
        <v>1-0.000474635305378999i</v>
      </c>
      <c r="X67" s="18">
        <f t="shared" si="67"/>
        <v>1.0000001126393301</v>
      </c>
      <c r="Y67" s="18">
        <f t="shared" si="68"/>
        <v>-4.7463526973726654E-4</v>
      </c>
      <c r="Z67" s="32" t="str">
        <f t="shared" si="54"/>
        <v>0.99999999618003+0.000232949389805108i</v>
      </c>
      <c r="AA67" s="18">
        <f t="shared" si="69"/>
        <v>1.0000000233127389</v>
      </c>
      <c r="AB67" s="18">
        <f t="shared" si="70"/>
        <v>2.3294938648126909E-4</v>
      </c>
      <c r="AC67" s="68" t="str">
        <f t="shared" si="71"/>
        <v>23.1772432475259-1.71538051298876i</v>
      </c>
      <c r="AD67" s="66">
        <f t="shared" si="72"/>
        <v>27.324959958771071</v>
      </c>
      <c r="AE67" s="63">
        <f t="shared" si="73"/>
        <v>-4.2328241367608586</v>
      </c>
      <c r="AF67" s="51" t="e">
        <f t="shared" si="74"/>
        <v>#NUM!</v>
      </c>
      <c r="AG67" s="51" t="str">
        <f t="shared" si="55"/>
        <v>1-0.103103732927556i</v>
      </c>
      <c r="AH67" s="51">
        <f t="shared" si="75"/>
        <v>1.0053011388353226</v>
      </c>
      <c r="AI67" s="51">
        <f t="shared" si="76"/>
        <v>-0.10274070168097892</v>
      </c>
      <c r="AJ67" s="51" t="str">
        <f t="shared" si="56"/>
        <v>1+0.000343679109758521i</v>
      </c>
      <c r="AK67" s="51">
        <f t="shared" si="77"/>
        <v>1.0000000590576634</v>
      </c>
      <c r="AL67" s="51">
        <f t="shared" si="78"/>
        <v>3.4367909622726476E-4</v>
      </c>
      <c r="AM67" s="51" t="e">
        <f t="shared" si="57"/>
        <v>#NUM!</v>
      </c>
      <c r="AN67" s="51" t="e">
        <f t="shared" si="79"/>
        <v>#NUM!</v>
      </c>
      <c r="AO67" s="51" t="e">
        <f t="shared" si="80"/>
        <v>#NUM!</v>
      </c>
      <c r="AP67" s="60" t="e">
        <f t="shared" si="81"/>
        <v>#NUM!</v>
      </c>
      <c r="AQ67" s="51" t="e">
        <f t="shared" si="82"/>
        <v>#NUM!</v>
      </c>
      <c r="AR67" s="63" t="e">
        <f t="shared" si="83"/>
        <v>#NUM!</v>
      </c>
      <c r="AS67" s="32" t="str">
        <f t="shared" si="58"/>
        <v>-0.000170731707317073</v>
      </c>
      <c r="AT67" s="32" t="str">
        <f t="shared" si="59"/>
        <v>7.37842156543716E-06i</v>
      </c>
      <c r="AU67" s="32">
        <f t="shared" si="84"/>
        <v>7.3784215654371602E-6</v>
      </c>
      <c r="AV67" s="32">
        <f t="shared" si="85"/>
        <v>1.5707963267948966</v>
      </c>
      <c r="AW67" s="32" t="str">
        <f t="shared" si="60"/>
        <v>1+0.00157092931168837i</v>
      </c>
      <c r="AX67" s="32">
        <f t="shared" si="86"/>
        <v>1.0000012339086899</v>
      </c>
      <c r="AY67" s="32">
        <f t="shared" si="87"/>
        <v>1.5709280194339335E-3</v>
      </c>
      <c r="AZ67" s="32" t="str">
        <f t="shared" si="61"/>
        <v>1+0.029847656922079i</v>
      </c>
      <c r="BA67" s="32">
        <f t="shared" si="88"/>
        <v>1.0004453421470552</v>
      </c>
      <c r="BB67" s="32">
        <f t="shared" si="89"/>
        <v>2.9838798070611471E-2</v>
      </c>
      <c r="BC67" s="60" t="str">
        <f t="shared" si="90"/>
        <v>-0.654302824188386+23.140354588436i</v>
      </c>
      <c r="BD67" s="51">
        <f t="shared" si="91"/>
        <v>27.290870980465339</v>
      </c>
      <c r="BE67" s="63">
        <f t="shared" si="92"/>
        <v>91.619629649756718</v>
      </c>
      <c r="BF67" s="60" t="str">
        <f t="shared" si="93"/>
        <v>24.5295776108958+537.45200544439i</v>
      </c>
      <c r="BG67" s="66">
        <f t="shared" si="94"/>
        <v>54.615830939236417</v>
      </c>
      <c r="BH67" s="63">
        <f t="shared" si="95"/>
        <v>87.386805512995878</v>
      </c>
      <c r="BI67" s="60" t="e">
        <f t="shared" si="101"/>
        <v>#NUM!</v>
      </c>
      <c r="BJ67" s="66" t="e">
        <f t="shared" si="97"/>
        <v>#NUM!</v>
      </c>
      <c r="BK67" s="63" t="e">
        <f t="shared" si="102"/>
        <v>#NUM!</v>
      </c>
      <c r="BL67" s="51">
        <f t="shared" si="99"/>
        <v>54.615830939236417</v>
      </c>
      <c r="BM67" s="63">
        <f t="shared" si="100"/>
        <v>87.386805512995878</v>
      </c>
    </row>
    <row r="68" spans="1:65" x14ac:dyDescent="0.3">
      <c r="A68" s="32" t="s">
        <v>475</v>
      </c>
      <c r="B68" s="32" t="e">
        <f>(B67*2*VOUT/DC_VIN_var_DCM)*(((VOUT/VIN_var)-1)/((2*VOUT/VIN_var)-1))</f>
        <v>#NUM!</v>
      </c>
      <c r="C68" s="32" t="s">
        <v>147</v>
      </c>
      <c r="N68" s="11">
        <v>50</v>
      </c>
      <c r="O68" s="52">
        <f t="shared" si="62"/>
        <v>31.622776601683803</v>
      </c>
      <c r="P68" s="50" t="str">
        <f t="shared" si="50"/>
        <v>23.3035714285714</v>
      </c>
      <c r="Q68" s="18" t="str">
        <f t="shared" si="51"/>
        <v>1+0.075360948130539i</v>
      </c>
      <c r="R68" s="18">
        <f t="shared" si="63"/>
        <v>1.0028356158928211</v>
      </c>
      <c r="S68" s="18">
        <f t="shared" si="64"/>
        <v>7.5218767187401725E-2</v>
      </c>
      <c r="T68" s="18" t="str">
        <f t="shared" si="52"/>
        <v>1+0.000351684424609182i</v>
      </c>
      <c r="U68" s="18">
        <f t="shared" si="65"/>
        <v>1.0000000618409652</v>
      </c>
      <c r="V68" s="18">
        <f t="shared" si="66"/>
        <v>3.5168441011017976E-4</v>
      </c>
      <c r="W68" s="32" t="str">
        <f t="shared" si="53"/>
        <v>1-0.000485690981883365i</v>
      </c>
      <c r="X68" s="18">
        <f t="shared" si="67"/>
        <v>1.0000001179478579</v>
      </c>
      <c r="Y68" s="18">
        <f t="shared" si="68"/>
        <v>-4.8569094369256088E-4</v>
      </c>
      <c r="Z68" s="32" t="str">
        <f t="shared" si="54"/>
        <v>0.999999996+0.000238375478143644i</v>
      </c>
      <c r="AA68" s="18">
        <f t="shared" si="69"/>
        <v>1.000000024411434</v>
      </c>
      <c r="AB68" s="18">
        <f t="shared" si="70"/>
        <v>2.3837547458208653E-4</v>
      </c>
      <c r="AC68" s="68" t="str">
        <f t="shared" si="71"/>
        <v>23.1713232053065-1.75489071806482i</v>
      </c>
      <c r="AD68" s="66">
        <f t="shared" si="72"/>
        <v>27.323856050770345</v>
      </c>
      <c r="AE68" s="63">
        <f t="shared" si="73"/>
        <v>-4.3310538174496838</v>
      </c>
      <c r="AF68" s="51" t="e">
        <f t="shared" si="74"/>
        <v>#NUM!</v>
      </c>
      <c r="AG68" s="51" t="str">
        <f t="shared" si="55"/>
        <v>1-0.105505327382755i</v>
      </c>
      <c r="AH68" s="51">
        <f t="shared" si="75"/>
        <v>1.0055502842255788</v>
      </c>
      <c r="AI68" s="51">
        <f t="shared" si="76"/>
        <v>-0.1051164482629206</v>
      </c>
      <c r="AJ68" s="51" t="str">
        <f t="shared" si="56"/>
        <v>1+0.000351684424609182i</v>
      </c>
      <c r="AK68" s="51">
        <f t="shared" si="77"/>
        <v>1.0000000618409652</v>
      </c>
      <c r="AL68" s="51">
        <f t="shared" si="78"/>
        <v>3.5168441011017976E-4</v>
      </c>
      <c r="AM68" s="51" t="e">
        <f t="shared" si="57"/>
        <v>#NUM!</v>
      </c>
      <c r="AN68" s="51" t="e">
        <f t="shared" si="79"/>
        <v>#NUM!</v>
      </c>
      <c r="AO68" s="51" t="e">
        <f t="shared" si="80"/>
        <v>#NUM!</v>
      </c>
      <c r="AP68" s="60" t="e">
        <f t="shared" si="81"/>
        <v>#NUM!</v>
      </c>
      <c r="AQ68" s="51" t="e">
        <f t="shared" si="82"/>
        <v>#NUM!</v>
      </c>
      <c r="AR68" s="63" t="e">
        <f t="shared" si="83"/>
        <v>#NUM!</v>
      </c>
      <c r="AS68" s="32" t="str">
        <f t="shared" si="58"/>
        <v>-0.000170731707317073</v>
      </c>
      <c r="AT68" s="32" t="str">
        <f t="shared" si="59"/>
        <v>7.55028708200504E-06i</v>
      </c>
      <c r="AU68" s="32">
        <f t="shared" si="84"/>
        <v>7.5502870820050397E-6</v>
      </c>
      <c r="AV68" s="32">
        <f t="shared" si="85"/>
        <v>1.5707963267948966</v>
      </c>
      <c r="AW68" s="32" t="str">
        <f t="shared" si="60"/>
        <v>1+0.00160752095601913i</v>
      </c>
      <c r="AX68" s="32">
        <f t="shared" si="86"/>
        <v>1.0000012920609773</v>
      </c>
      <c r="AY68" s="32">
        <f t="shared" si="87"/>
        <v>1.6075195713436507E-3</v>
      </c>
      <c r="AZ68" s="32" t="str">
        <f t="shared" si="61"/>
        <v>1+0.0305428981643635i</v>
      </c>
      <c r="BA68" s="32">
        <f t="shared" si="88"/>
        <v>1.000466325584364</v>
      </c>
      <c r="BB68" s="32">
        <f t="shared" si="89"/>
        <v>3.0533405972939808E-2</v>
      </c>
      <c r="BC68" s="60" t="str">
        <f t="shared" si="90"/>
        <v>-0.654302748090073+22.6136631488584i</v>
      </c>
      <c r="BD68" s="51">
        <f t="shared" si="91"/>
        <v>27.091052652139926</v>
      </c>
      <c r="BE68" s="63">
        <f t="shared" si="92"/>
        <v>91.657331209486316</v>
      </c>
      <c r="BF68" s="60" t="str">
        <f t="shared" si="93"/>
        <v>24.5234471112608+525.136727497555i</v>
      </c>
      <c r="BG68" s="66">
        <f t="shared" si="94"/>
        <v>54.414908702910274</v>
      </c>
      <c r="BH68" s="63">
        <f t="shared" si="95"/>
        <v>87.326277392036644</v>
      </c>
      <c r="BI68" s="60" t="e">
        <f t="shared" si="101"/>
        <v>#NUM!</v>
      </c>
      <c r="BJ68" s="66" t="e">
        <f t="shared" si="97"/>
        <v>#NUM!</v>
      </c>
      <c r="BK68" s="63" t="e">
        <f t="shared" si="102"/>
        <v>#NUM!</v>
      </c>
      <c r="BL68" s="51">
        <f t="shared" si="99"/>
        <v>54.414908702910274</v>
      </c>
      <c r="BM68" s="63">
        <f t="shared" si="100"/>
        <v>87.326277392036644</v>
      </c>
    </row>
    <row r="69" spans="1:65" x14ac:dyDescent="0.3">
      <c r="A69" s="32" t="s">
        <v>505</v>
      </c>
      <c r="B69" s="32">
        <f>(IOUT_VAR*((2*VOUT)-VIN_var))/(Cout*VOUT*(VOUT-VIN_var))</f>
        <v>-1883.2391713747645</v>
      </c>
      <c r="C69" s="32" t="s">
        <v>392</v>
      </c>
      <c r="N69" s="11">
        <v>51</v>
      </c>
      <c r="O69" s="52">
        <f t="shared" si="62"/>
        <v>32.359365692962832</v>
      </c>
      <c r="P69" s="50" t="str">
        <f t="shared" si="50"/>
        <v>23.3035714285714</v>
      </c>
      <c r="Q69" s="18" t="str">
        <f t="shared" si="51"/>
        <v>1+0.0771163301136139i</v>
      </c>
      <c r="R69" s="18">
        <f t="shared" si="63"/>
        <v>1.0029690565367368</v>
      </c>
      <c r="S69" s="18">
        <f t="shared" si="64"/>
        <v>7.6964004835387914E-2</v>
      </c>
      <c r="T69" s="18" t="str">
        <f t="shared" si="52"/>
        <v>1+0.000359876207196865i</v>
      </c>
      <c r="U69" s="18">
        <f t="shared" si="65"/>
        <v>1.0000000647554401</v>
      </c>
      <c r="V69" s="18">
        <f t="shared" si="66"/>
        <v>3.5987619166090424E-4</v>
      </c>
      <c r="W69" s="32" t="str">
        <f t="shared" si="53"/>
        <v>1-0.000497004178175206i</v>
      </c>
      <c r="X69" s="18">
        <f t="shared" si="67"/>
        <v>1.000000123506569</v>
      </c>
      <c r="Y69" s="18">
        <f t="shared" si="68"/>
        <v>-4.9700413725302242E-4</v>
      </c>
      <c r="Z69" s="32" t="str">
        <f t="shared" si="54"/>
        <v>0.999999995811486+0.000243927956315965i</v>
      </c>
      <c r="AA69" s="18">
        <f t="shared" si="69"/>
        <v>1.0000000255619097</v>
      </c>
      <c r="AB69" s="18">
        <f t="shared" si="70"/>
        <v>2.439279524996874E-4</v>
      </c>
      <c r="AC69" s="68" t="str">
        <f t="shared" si="71"/>
        <v>23.1651273846614-1.79528957508879i</v>
      </c>
      <c r="AD69" s="66">
        <f t="shared" si="72"/>
        <v>27.322700417886381</v>
      </c>
      <c r="AE69" s="63">
        <f t="shared" si="73"/>
        <v>-4.4315455462113968</v>
      </c>
      <c r="AF69" s="51" t="e">
        <f t="shared" si="74"/>
        <v>#NUM!</v>
      </c>
      <c r="AG69" s="51" t="str">
        <f t="shared" si="55"/>
        <v>1-0.10796286215906i</v>
      </c>
      <c r="AH69" s="51">
        <f t="shared" si="75"/>
        <v>1.0058111053302088</v>
      </c>
      <c r="AI69" s="51">
        <f t="shared" si="76"/>
        <v>-0.10754630058796572</v>
      </c>
      <c r="AJ69" s="51" t="str">
        <f t="shared" si="56"/>
        <v>1+0.000359876207196865i</v>
      </c>
      <c r="AK69" s="51">
        <f t="shared" si="77"/>
        <v>1.0000000647554401</v>
      </c>
      <c r="AL69" s="51">
        <f t="shared" si="78"/>
        <v>3.5987619166090424E-4</v>
      </c>
      <c r="AM69" s="51" t="e">
        <f t="shared" si="57"/>
        <v>#NUM!</v>
      </c>
      <c r="AN69" s="51" t="e">
        <f t="shared" si="79"/>
        <v>#NUM!</v>
      </c>
      <c r="AO69" s="51" t="e">
        <f t="shared" si="80"/>
        <v>#NUM!</v>
      </c>
      <c r="AP69" s="60" t="e">
        <f t="shared" si="81"/>
        <v>#NUM!</v>
      </c>
      <c r="AQ69" s="51" t="e">
        <f t="shared" si="82"/>
        <v>#NUM!</v>
      </c>
      <c r="AR69" s="63" t="e">
        <f t="shared" si="83"/>
        <v>#NUM!</v>
      </c>
      <c r="AS69" s="32" t="str">
        <f t="shared" si="58"/>
        <v>-0.000170731707317073</v>
      </c>
      <c r="AT69" s="32" t="str">
        <f t="shared" si="59"/>
        <v>7.72615586072366E-06i</v>
      </c>
      <c r="AU69" s="32">
        <f t="shared" si="84"/>
        <v>7.7261558607236603E-6</v>
      </c>
      <c r="AV69" s="32">
        <f t="shared" si="85"/>
        <v>1.5707963267948966</v>
      </c>
      <c r="AW69" s="32" t="str">
        <f t="shared" si="60"/>
        <v>1+0.00164496492923883i</v>
      </c>
      <c r="AX69" s="32">
        <f t="shared" si="86"/>
        <v>1.000001352953894</v>
      </c>
      <c r="AY69" s="32">
        <f t="shared" si="87"/>
        <v>1.644963445532431E-3</v>
      </c>
      <c r="AZ69" s="32" t="str">
        <f t="shared" si="61"/>
        <v>1+0.0312543336555379i</v>
      </c>
      <c r="BA69" s="32">
        <f t="shared" si="88"/>
        <v>1.0004882974689169</v>
      </c>
      <c r="BB69" s="32">
        <f t="shared" si="89"/>
        <v>3.1244162857263776E-2</v>
      </c>
      <c r="BC69" s="60" t="str">
        <f t="shared" si="90"/>
        <v>-0.654302668405379+22.0989617727983i</v>
      </c>
      <c r="BD69" s="51">
        <f t="shared" si="91"/>
        <v>26.891242877546667</v>
      </c>
      <c r="BE69" s="63">
        <f t="shared" si="92"/>
        <v>91.69590920325831</v>
      </c>
      <c r="BF69" s="60" t="str">
        <f t="shared" si="93"/>
        <v>24.517031029256+513.099927295176i</v>
      </c>
      <c r="BG69" s="66">
        <f t="shared" si="94"/>
        <v>54.21394329543304</v>
      </c>
      <c r="BH69" s="63">
        <f t="shared" si="95"/>
        <v>87.264363657046914</v>
      </c>
      <c r="BI69" s="60" t="e">
        <f t="shared" si="101"/>
        <v>#NUM!</v>
      </c>
      <c r="BJ69" s="66" t="e">
        <f t="shared" si="97"/>
        <v>#NUM!</v>
      </c>
      <c r="BK69" s="63" t="e">
        <f t="shared" si="102"/>
        <v>#NUM!</v>
      </c>
      <c r="BL69" s="51">
        <f t="shared" si="99"/>
        <v>54.21394329543304</v>
      </c>
      <c r="BM69" s="63">
        <f t="shared" si="100"/>
        <v>87.264363657046914</v>
      </c>
    </row>
    <row r="70" spans="1:65" x14ac:dyDescent="0.3">
      <c r="A70" s="32"/>
      <c r="B70" s="32">
        <f>B69/(2*PI())</f>
        <v>-299.72682314857877</v>
      </c>
      <c r="C70" s="32" t="s">
        <v>67</v>
      </c>
      <c r="N70" s="11">
        <v>52</v>
      </c>
      <c r="O70" s="52">
        <f t="shared" si="62"/>
        <v>33.113112148259127</v>
      </c>
      <c r="P70" s="50" t="str">
        <f t="shared" si="50"/>
        <v>23.3035714285714</v>
      </c>
      <c r="Q70" s="18" t="str">
        <f t="shared" si="51"/>
        <v>1+0.0789126001956707i</v>
      </c>
      <c r="R70" s="18">
        <f t="shared" si="63"/>
        <v>1.0031087670186329</v>
      </c>
      <c r="S70" s="18">
        <f t="shared" si="64"/>
        <v>7.8749408026731638E-2</v>
      </c>
      <c r="T70" s="18" t="str">
        <f t="shared" si="52"/>
        <v>1+0.00036825880091313i</v>
      </c>
      <c r="U70" s="18">
        <f t="shared" si="65"/>
        <v>1.00000006780727</v>
      </c>
      <c r="V70" s="18">
        <f t="shared" si="66"/>
        <v>3.6825878426604815E-4</v>
      </c>
      <c r="W70" s="32" t="str">
        <f t="shared" si="53"/>
        <v>1-0.000508580892660945i</v>
      </c>
      <c r="X70" s="18">
        <f t="shared" si="67"/>
        <v>1.0000001293272538</v>
      </c>
      <c r="Y70" s="18">
        <f t="shared" si="68"/>
        <v>-5.0858084881203543E-4</v>
      </c>
      <c r="Z70" s="32" t="str">
        <f t="shared" si="54"/>
        <v>0.999999995614087+0.000249609768319494i</v>
      </c>
      <c r="AA70" s="18">
        <f t="shared" si="69"/>
        <v>1.0000000267666047</v>
      </c>
      <c r="AB70" s="18">
        <f t="shared" si="70"/>
        <v>2.4960976423027897E-4</v>
      </c>
      <c r="AC70" s="68" t="str">
        <f t="shared" si="71"/>
        <v>23.1586430968308-1.83659554931643i</v>
      </c>
      <c r="AD70" s="66">
        <f t="shared" si="72"/>
        <v>27.321490651235738</v>
      </c>
      <c r="AE70" s="63">
        <f t="shared" si="73"/>
        <v>-4.5343501671720707</v>
      </c>
      <c r="AF70" s="51" t="e">
        <f t="shared" si="74"/>
        <v>#NUM!</v>
      </c>
      <c r="AG70" s="51" t="str">
        <f t="shared" si="55"/>
        <v>1-0.110477640273939i</v>
      </c>
      <c r="AH70" s="51">
        <f t="shared" si="75"/>
        <v>1.0060841460834664</v>
      </c>
      <c r="AI70" s="51">
        <f t="shared" si="76"/>
        <v>-0.11003143216310637</v>
      </c>
      <c r="AJ70" s="51" t="str">
        <f t="shared" si="56"/>
        <v>1+0.00036825880091313i</v>
      </c>
      <c r="AK70" s="51">
        <f t="shared" si="77"/>
        <v>1.00000006780727</v>
      </c>
      <c r="AL70" s="51">
        <f t="shared" si="78"/>
        <v>3.6825878426604815E-4</v>
      </c>
      <c r="AM70" s="51" t="e">
        <f t="shared" si="57"/>
        <v>#NUM!</v>
      </c>
      <c r="AN70" s="51" t="e">
        <f t="shared" si="79"/>
        <v>#NUM!</v>
      </c>
      <c r="AO70" s="51" t="e">
        <f t="shared" si="80"/>
        <v>#NUM!</v>
      </c>
      <c r="AP70" s="60" t="e">
        <f t="shared" si="81"/>
        <v>#NUM!</v>
      </c>
      <c r="AQ70" s="51" t="e">
        <f t="shared" si="82"/>
        <v>#NUM!</v>
      </c>
      <c r="AR70" s="63" t="e">
        <f t="shared" si="83"/>
        <v>#NUM!</v>
      </c>
      <c r="AS70" s="32" t="str">
        <f t="shared" si="58"/>
        <v>-0.000170731707317073</v>
      </c>
      <c r="AT70" s="32" t="str">
        <f t="shared" si="59"/>
        <v>0.0000079061211495474i</v>
      </c>
      <c r="AU70" s="32">
        <f t="shared" si="84"/>
        <v>7.9061211495474001E-6</v>
      </c>
      <c r="AV70" s="32">
        <f t="shared" si="85"/>
        <v>1.5707963267948966</v>
      </c>
      <c r="AW70" s="32" t="str">
        <f t="shared" si="60"/>
        <v>1+0.00168328108463771i</v>
      </c>
      <c r="AX70" s="32">
        <f t="shared" si="86"/>
        <v>1.0000014167166014</v>
      </c>
      <c r="AY70" s="32">
        <f t="shared" si="87"/>
        <v>1.6832794948177818E-3</v>
      </c>
      <c r="AZ70" s="32" t="str">
        <f t="shared" si="61"/>
        <v>1+0.0319823406081166i</v>
      </c>
      <c r="BA70" s="32">
        <f t="shared" si="88"/>
        <v>1.000511304339323</v>
      </c>
      <c r="BB70" s="32">
        <f t="shared" si="89"/>
        <v>3.1971442702193618E-2</v>
      </c>
      <c r="BC70" s="60" t="str">
        <f t="shared" si="90"/>
        <v>-0.654302584965283+21.595977558772i</v>
      </c>
      <c r="BD70" s="51">
        <f t="shared" si="91"/>
        <v>26.691442059020996</v>
      </c>
      <c r="BE70" s="63">
        <f t="shared" si="92"/>
        <v>91.735383920986052</v>
      </c>
      <c r="BF70" s="60" t="str">
        <f t="shared" si="93"/>
        <v>24.5103162250334+501.335225826222i</v>
      </c>
      <c r="BG70" s="66">
        <f t="shared" si="94"/>
        <v>54.012932710256734</v>
      </c>
      <c r="BH70" s="63">
        <f t="shared" si="95"/>
        <v>87.201033753813988</v>
      </c>
      <c r="BI70" s="60" t="e">
        <f t="shared" si="101"/>
        <v>#NUM!</v>
      </c>
      <c r="BJ70" s="66" t="e">
        <f t="shared" si="97"/>
        <v>#NUM!</v>
      </c>
      <c r="BK70" s="63" t="e">
        <f t="shared" si="102"/>
        <v>#NUM!</v>
      </c>
      <c r="BL70" s="51">
        <f t="shared" si="99"/>
        <v>54.012932710256734</v>
      </c>
      <c r="BM70" s="63">
        <f t="shared" si="100"/>
        <v>87.201033753813988</v>
      </c>
    </row>
    <row r="71" spans="1:65" x14ac:dyDescent="0.3">
      <c r="A71" s="32" t="s">
        <v>478</v>
      </c>
      <c r="B71" s="32">
        <f>1/(Cout*Resr)</f>
        <v>564971.75141242938</v>
      </c>
      <c r="C71" s="32" t="s">
        <v>392</v>
      </c>
      <c r="N71" s="11">
        <v>53</v>
      </c>
      <c r="O71" s="52">
        <f t="shared" si="62"/>
        <v>33.884415613920268</v>
      </c>
      <c r="P71" s="50" t="str">
        <f t="shared" si="50"/>
        <v>23.3035714285714</v>
      </c>
      <c r="Q71" s="18" t="str">
        <f t="shared" si="51"/>
        <v>1+0.0807507107828823i</v>
      </c>
      <c r="R71" s="18">
        <f t="shared" si="63"/>
        <v>1.0032550410000145</v>
      </c>
      <c r="S71" s="18">
        <f t="shared" si="64"/>
        <v>8.0575877850273925E-2</v>
      </c>
      <c r="T71" s="18" t="str">
        <f t="shared" si="52"/>
        <v>1+0.000376836650320118i</v>
      </c>
      <c r="U71" s="18">
        <f t="shared" si="65"/>
        <v>1.000000071002928</v>
      </c>
      <c r="V71" s="18">
        <f t="shared" si="66"/>
        <v>3.7683663248244849E-4</v>
      </c>
      <c r="W71" s="32" t="str">
        <f t="shared" si="53"/>
        <v>1-0.000520427263467833i</v>
      </c>
      <c r="X71" s="18">
        <f t="shared" si="67"/>
        <v>1.0000001354222592</v>
      </c>
      <c r="Y71" s="18">
        <f t="shared" si="68"/>
        <v>-5.204272164828803E-4</v>
      </c>
      <c r="Z71" s="32" t="str">
        <f t="shared" si="54"/>
        <v>0.999999995407385+0.00025542392672616i</v>
      </c>
      <c r="AA71" s="18">
        <f t="shared" si="69"/>
        <v>1.0000000280280759</v>
      </c>
      <c r="AB71" s="18">
        <f t="shared" si="70"/>
        <v>2.5542392234448726E-4</v>
      </c>
      <c r="AC71" s="68" t="str">
        <f t="shared" si="71"/>
        <v>23.1518570843794-1.87882737996907i</v>
      </c>
      <c r="AD71" s="66">
        <f t="shared" si="72"/>
        <v>27.320224231163959</v>
      </c>
      <c r="AE71" s="63">
        <f t="shared" si="73"/>
        <v>-4.6395195785604066</v>
      </c>
      <c r="AF71" s="51" t="e">
        <f t="shared" si="74"/>
        <v>#NUM!</v>
      </c>
      <c r="AG71" s="51" t="str">
        <f t="shared" si="55"/>
        <v>1-0.113050995096036i</v>
      </c>
      <c r="AH71" s="51">
        <f t="shared" si="75"/>
        <v>1.0063699754524695</v>
      </c>
      <c r="AI71" s="51">
        <f t="shared" si="76"/>
        <v>-0.11257303778828034</v>
      </c>
      <c r="AJ71" s="51" t="str">
        <f t="shared" si="56"/>
        <v>1+0.000376836650320118i</v>
      </c>
      <c r="AK71" s="51">
        <f t="shared" si="77"/>
        <v>1.000000071002928</v>
      </c>
      <c r="AL71" s="51">
        <f t="shared" si="78"/>
        <v>3.7683663248244849E-4</v>
      </c>
      <c r="AM71" s="51" t="e">
        <f t="shared" si="57"/>
        <v>#NUM!</v>
      </c>
      <c r="AN71" s="51" t="e">
        <f t="shared" si="79"/>
        <v>#NUM!</v>
      </c>
      <c r="AO71" s="51" t="e">
        <f t="shared" si="80"/>
        <v>#NUM!</v>
      </c>
      <c r="AP71" s="60" t="e">
        <f t="shared" si="81"/>
        <v>#NUM!</v>
      </c>
      <c r="AQ71" s="51" t="e">
        <f t="shared" si="82"/>
        <v>#NUM!</v>
      </c>
      <c r="AR71" s="63" t="e">
        <f t="shared" si="83"/>
        <v>#NUM!</v>
      </c>
      <c r="AS71" s="32" t="str">
        <f t="shared" si="58"/>
        <v>-0.000170731707317073</v>
      </c>
      <c r="AT71" s="32" t="str">
        <f t="shared" si="59"/>
        <v>8.09027836845452E-06i</v>
      </c>
      <c r="AU71" s="32">
        <f t="shared" si="84"/>
        <v>8.0902783684545202E-6</v>
      </c>
      <c r="AV71" s="32">
        <f t="shared" si="85"/>
        <v>1.5707963267948966</v>
      </c>
      <c r="AW71" s="32" t="str">
        <f t="shared" si="60"/>
        <v>1+0.00172248973794851i</v>
      </c>
      <c r="AX71" s="32">
        <f t="shared" si="86"/>
        <v>1.0000014834843483</v>
      </c>
      <c r="AY71" s="32">
        <f t="shared" si="87"/>
        <v>1.7224880344259015E-3</v>
      </c>
      <c r="AZ71" s="32" t="str">
        <f t="shared" si="61"/>
        <v>1+0.0327273050210217i</v>
      </c>
      <c r="BA71" s="32">
        <f t="shared" si="88"/>
        <v>1.0005353949231077</v>
      </c>
      <c r="BB71" s="32">
        <f t="shared" si="89"/>
        <v>3.2715628041893687E-2</v>
      </c>
      <c r="BC71" s="60" t="str">
        <f t="shared" si="90"/>
        <v>-0.654302497592792+21.1044438178906i</v>
      </c>
      <c r="BD71" s="51">
        <f t="shared" si="91"/>
        <v>26.491650617783957</v>
      </c>
      <c r="BE71" s="63">
        <f t="shared" si="92"/>
        <v>91.775776116285954</v>
      </c>
      <c r="BF71" s="60" t="str">
        <f t="shared" si="93"/>
        <v>24.503288969851+489.836388564377i</v>
      </c>
      <c r="BG71" s="66">
        <f t="shared" si="94"/>
        <v>53.811874848947916</v>
      </c>
      <c r="BH71" s="63">
        <f t="shared" si="95"/>
        <v>87.136256537725558</v>
      </c>
      <c r="BI71" s="60" t="e">
        <f t="shared" si="101"/>
        <v>#NUM!</v>
      </c>
      <c r="BJ71" s="66" t="e">
        <f t="shared" si="97"/>
        <v>#NUM!</v>
      </c>
      <c r="BK71" s="63" t="e">
        <f t="shared" si="102"/>
        <v>#NUM!</v>
      </c>
      <c r="BL71" s="51">
        <f t="shared" si="99"/>
        <v>53.811874848947916</v>
      </c>
      <c r="BM71" s="63">
        <f t="shared" si="100"/>
        <v>87.136256537725558</v>
      </c>
    </row>
    <row r="72" spans="1:65" x14ac:dyDescent="0.3">
      <c r="A72" s="32"/>
      <c r="B72" s="32">
        <f>B71/(2*PI())</f>
        <v>89918.046944573638</v>
      </c>
      <c r="C72" s="32" t="s">
        <v>67</v>
      </c>
      <c r="N72" s="11">
        <v>54</v>
      </c>
      <c r="O72" s="52">
        <f t="shared" si="62"/>
        <v>34.67368504525318</v>
      </c>
      <c r="P72" s="50" t="str">
        <f t="shared" si="50"/>
        <v>23.3035714285714</v>
      </c>
      <c r="Q72" s="18" t="str">
        <f t="shared" si="51"/>
        <v>1+0.0826316364658135i</v>
      </c>
      <c r="R72" s="18">
        <f t="shared" si="63"/>
        <v>1.0034081858072608</v>
      </c>
      <c r="S72" s="18">
        <f t="shared" si="64"/>
        <v>8.2444333952592402E-2</v>
      </c>
      <c r="T72" s="18" t="str">
        <f t="shared" si="52"/>
        <v>1+0.00038561430350713i</v>
      </c>
      <c r="U72" s="18">
        <f t="shared" si="65"/>
        <v>1.0000000743491928</v>
      </c>
      <c r="V72" s="18">
        <f t="shared" si="66"/>
        <v>3.8561428439372287E-4</v>
      </c>
      <c r="W72" s="32" t="str">
        <f t="shared" si="53"/>
        <v>1-0.000532549571698484i</v>
      </c>
      <c r="X72" s="18">
        <f t="shared" si="67"/>
        <v>1.000000141804513</v>
      </c>
      <c r="Y72" s="18">
        <f t="shared" si="68"/>
        <v>-5.3254952135320052E-4</v>
      </c>
      <c r="Z72" s="32" t="str">
        <f t="shared" si="54"/>
        <v>0.999999995190942+0.000261373514279712i</v>
      </c>
      <c r="AA72" s="18">
        <f t="shared" si="69"/>
        <v>1.0000000293489983</v>
      </c>
      <c r="AB72" s="18">
        <f t="shared" si="70"/>
        <v>2.6137350958466496E-4</v>
      </c>
      <c r="AC72" s="68" t="str">
        <f t="shared" si="71"/>
        <v>23.1447554971642-1.92200407588489i</v>
      </c>
      <c r="AD72" s="66">
        <f t="shared" si="72"/>
        <v>27.318898522287181</v>
      </c>
      <c r="AE72" s="63">
        <f t="shared" si="73"/>
        <v>-4.7471067481659324</v>
      </c>
      <c r="AF72" s="51" t="e">
        <f t="shared" si="74"/>
        <v>#NUM!</v>
      </c>
      <c r="AG72" s="51" t="str">
        <f t="shared" si="55"/>
        <v>1-0.115684291052139i</v>
      </c>
      <c r="AH72" s="51">
        <f t="shared" si="75"/>
        <v>1.0066691885600929</v>
      </c>
      <c r="AI72" s="51">
        <f t="shared" si="76"/>
        <v>-0.11517233363993749</v>
      </c>
      <c r="AJ72" s="51" t="str">
        <f t="shared" si="56"/>
        <v>1+0.00038561430350713i</v>
      </c>
      <c r="AK72" s="51">
        <f t="shared" si="77"/>
        <v>1.0000000743491928</v>
      </c>
      <c r="AL72" s="51">
        <f t="shared" si="78"/>
        <v>3.8561428439372287E-4</v>
      </c>
      <c r="AM72" s="51" t="e">
        <f t="shared" si="57"/>
        <v>#NUM!</v>
      </c>
      <c r="AN72" s="51" t="e">
        <f t="shared" si="79"/>
        <v>#NUM!</v>
      </c>
      <c r="AO72" s="51" t="e">
        <f t="shared" si="80"/>
        <v>#NUM!</v>
      </c>
      <c r="AP72" s="60" t="e">
        <f t="shared" si="81"/>
        <v>#NUM!</v>
      </c>
      <c r="AQ72" s="51" t="e">
        <f t="shared" si="82"/>
        <v>#NUM!</v>
      </c>
      <c r="AR72" s="63" t="e">
        <f t="shared" si="83"/>
        <v>#NUM!</v>
      </c>
      <c r="AS72" s="32" t="str">
        <f t="shared" si="58"/>
        <v>-0.000170731707317073</v>
      </c>
      <c r="AT72" s="32" t="str">
        <f t="shared" si="59"/>
        <v>8.27872516004008E-06i</v>
      </c>
      <c r="AU72" s="32">
        <f t="shared" si="84"/>
        <v>8.2787251600400797E-6</v>
      </c>
      <c r="AV72" s="32">
        <f t="shared" si="85"/>
        <v>1.5707963267948966</v>
      </c>
      <c r="AW72" s="32" t="str">
        <f t="shared" si="60"/>
        <v>1+0.00176261167811822i</v>
      </c>
      <c r="AX72" s="32">
        <f t="shared" si="86"/>
        <v>1.0000015533987574</v>
      </c>
      <c r="AY72" s="32">
        <f t="shared" si="87"/>
        <v>1.7626098527610112E-3</v>
      </c>
      <c r="AZ72" s="32" t="str">
        <f t="shared" si="61"/>
        <v>1+0.0334896218842463i</v>
      </c>
      <c r="BA72" s="32">
        <f t="shared" si="88"/>
        <v>1.0005606202394484</v>
      </c>
      <c r="BB72" s="32">
        <f t="shared" si="89"/>
        <v>3.3477110154287983E-2</v>
      </c>
      <c r="BC72" s="60" t="str">
        <f t="shared" si="90"/>
        <v>-0.654302406102594+20.6240999324577i</v>
      </c>
      <c r="BD72" s="51">
        <f t="shared" si="91"/>
        <v>26.291868994824835</v>
      </c>
      <c r="BE72" s="63">
        <f t="shared" si="92"/>
        <v>91.81710701664386</v>
      </c>
      <c r="BF72" s="60" t="str">
        <f t="shared" si="93"/>
        <v>24.4959349211902+478.597322177205i</v>
      </c>
      <c r="BG72" s="66">
        <f t="shared" si="94"/>
        <v>53.610767517112023</v>
      </c>
      <c r="BH72" s="63">
        <f t="shared" si="95"/>
        <v>87.070000268477941</v>
      </c>
      <c r="BI72" s="60" t="e">
        <f t="shared" si="101"/>
        <v>#NUM!</v>
      </c>
      <c r="BJ72" s="66" t="e">
        <f t="shared" si="97"/>
        <v>#NUM!</v>
      </c>
      <c r="BK72" s="63" t="e">
        <f t="shared" si="102"/>
        <v>#NUM!</v>
      </c>
      <c r="BL72" s="51">
        <f t="shared" si="99"/>
        <v>53.610767517112023</v>
      </c>
      <c r="BM72" s="63">
        <f t="shared" si="100"/>
        <v>87.070000268477941</v>
      </c>
    </row>
    <row r="73" spans="1:65" x14ac:dyDescent="0.3">
      <c r="A73" s="32" t="s">
        <v>479</v>
      </c>
      <c r="B73" s="32" t="e">
        <f>2*Fsw/(DC_VIN_var_DCM)</f>
        <v>#NUM!</v>
      </c>
      <c r="C73" s="32" t="s">
        <v>392</v>
      </c>
      <c r="N73" s="11">
        <v>55</v>
      </c>
      <c r="O73" s="52">
        <f t="shared" si="62"/>
        <v>35.481338923357555</v>
      </c>
      <c r="P73" s="50" t="str">
        <f t="shared" si="50"/>
        <v>23.3035714285714</v>
      </c>
      <c r="Q73" s="18" t="str">
        <f t="shared" si="51"/>
        <v>1+0.0845563745361577i</v>
      </c>
      <c r="R73" s="18">
        <f t="shared" si="63"/>
        <v>1.0035685230589384</v>
      </c>
      <c r="S73" s="18">
        <f t="shared" si="64"/>
        <v>8.4355714800617224E-2</v>
      </c>
      <c r="T73" s="18" t="str">
        <f t="shared" si="52"/>
        <v>1+0.000394596414502069i</v>
      </c>
      <c r="U73" s="18">
        <f t="shared" si="65"/>
        <v>1.0000000778531621</v>
      </c>
      <c r="V73" s="18">
        <f t="shared" si="66"/>
        <v>3.9459639402168435E-4</v>
      </c>
      <c r="W73" s="32" t="str">
        <f t="shared" si="53"/>
        <v>1-0.000544954244761175i</v>
      </c>
      <c r="X73" s="18">
        <f t="shared" si="67"/>
        <v>1.0000001484875534</v>
      </c>
      <c r="Y73" s="18">
        <f t="shared" si="68"/>
        <v>-5.4495419081523227E-4</v>
      </c>
      <c r="Z73" s="32" t="str">
        <f t="shared" si="54"/>
        <v>0.999999994964298+0.000267461685530223i</v>
      </c>
      <c r="AA73" s="18">
        <f t="shared" si="69"/>
        <v>1.0000000307321744</v>
      </c>
      <c r="AB73" s="18">
        <f t="shared" si="70"/>
        <v>2.6746168049938951E-4</v>
      </c>
      <c r="AC73" s="68" t="str">
        <f t="shared" si="71"/>
        <v>23.1373238674281-1.96614491035326i</v>
      </c>
      <c r="AD73" s="66">
        <f t="shared" si="72"/>
        <v>27.317510768324851</v>
      </c>
      <c r="AE73" s="63">
        <f t="shared" si="73"/>
        <v>-4.8571657285318652</v>
      </c>
      <c r="AF73" s="51" t="e">
        <f t="shared" si="74"/>
        <v>#NUM!</v>
      </c>
      <c r="AG73" s="51" t="str">
        <f t="shared" si="55"/>
        <v>1-0.118378924350621i</v>
      </c>
      <c r="AH73" s="51">
        <f t="shared" si="75"/>
        <v>1.006982407855475</v>
      </c>
      <c r="AI73" s="51">
        <f t="shared" si="76"/>
        <v>-0.11783055732939182</v>
      </c>
      <c r="AJ73" s="51" t="str">
        <f t="shared" si="56"/>
        <v>1+0.000394596414502069i</v>
      </c>
      <c r="AK73" s="51">
        <f t="shared" si="77"/>
        <v>1.0000000778531621</v>
      </c>
      <c r="AL73" s="51">
        <f t="shared" si="78"/>
        <v>3.9459639402168435E-4</v>
      </c>
      <c r="AM73" s="51" t="e">
        <f t="shared" si="57"/>
        <v>#NUM!</v>
      </c>
      <c r="AN73" s="51" t="e">
        <f t="shared" si="79"/>
        <v>#NUM!</v>
      </c>
      <c r="AO73" s="51" t="e">
        <f t="shared" si="80"/>
        <v>#NUM!</v>
      </c>
      <c r="AP73" s="60" t="e">
        <f t="shared" si="81"/>
        <v>#NUM!</v>
      </c>
      <c r="AQ73" s="51" t="e">
        <f t="shared" si="82"/>
        <v>#NUM!</v>
      </c>
      <c r="AR73" s="63" t="e">
        <f t="shared" si="83"/>
        <v>#NUM!</v>
      </c>
      <c r="AS73" s="32" t="str">
        <f t="shared" si="58"/>
        <v>-0.000170731707317073</v>
      </c>
      <c r="AT73" s="32" t="str">
        <f t="shared" si="59"/>
        <v>8.47156144128738E-06i</v>
      </c>
      <c r="AU73" s="32">
        <f t="shared" si="84"/>
        <v>8.4715614412873793E-6</v>
      </c>
      <c r="AV73" s="32">
        <f t="shared" si="85"/>
        <v>1.5707963267948966</v>
      </c>
      <c r="AW73" s="32" t="str">
        <f t="shared" si="60"/>
        <v>1+0.0018036681783306i</v>
      </c>
      <c r="AX73" s="32">
        <f t="shared" si="86"/>
        <v>1.000001626608126</v>
      </c>
      <c r="AY73" s="32">
        <f t="shared" si="87"/>
        <v>1.8036662224252837E-3</v>
      </c>
      <c r="AZ73" s="32" t="str">
        <f t="shared" si="61"/>
        <v>1+0.0342696953882814i</v>
      </c>
      <c r="BA73" s="32">
        <f t="shared" si="88"/>
        <v>1.0005870337067164</v>
      </c>
      <c r="BB73" s="32">
        <f t="shared" si="89"/>
        <v>3.4256289252858729E-2</v>
      </c>
      <c r="BC73" s="60" t="str">
        <f t="shared" si="90"/>
        <v>-0.654302310300622+20.1546912177858i</v>
      </c>
      <c r="BD73" s="51">
        <f t="shared" si="91"/>
        <v>26.092097651824503</v>
      </c>
      <c r="BE73" s="63">
        <f t="shared" si="92"/>
        <v>91.859398333772901</v>
      </c>
      <c r="BF73" s="60" t="str">
        <f t="shared" si="93"/>
        <v>24.4882390969592+467.612071311149i</v>
      </c>
      <c r="BG73" s="66">
        <f t="shared" si="94"/>
        <v>53.409608420149361</v>
      </c>
      <c r="BH73" s="63">
        <f t="shared" si="95"/>
        <v>87.002232605241034</v>
      </c>
      <c r="BI73" s="60" t="e">
        <f t="shared" si="101"/>
        <v>#NUM!</v>
      </c>
      <c r="BJ73" s="66" t="e">
        <f t="shared" si="97"/>
        <v>#NUM!</v>
      </c>
      <c r="BK73" s="63" t="e">
        <f t="shared" si="102"/>
        <v>#NUM!</v>
      </c>
      <c r="BL73" s="51">
        <f t="shared" si="99"/>
        <v>53.409608420149361</v>
      </c>
      <c r="BM73" s="63">
        <f t="shared" si="100"/>
        <v>87.002232605241034</v>
      </c>
    </row>
    <row r="74" spans="1:65" x14ac:dyDescent="0.3">
      <c r="A74" s="32"/>
      <c r="B74" s="32" t="e">
        <f>B73/(2*PI())</f>
        <v>#NUM!</v>
      </c>
      <c r="C74" s="32" t="s">
        <v>67</v>
      </c>
      <c r="N74" s="11">
        <v>56</v>
      </c>
      <c r="O74" s="52">
        <f t="shared" si="62"/>
        <v>36.307805477010156</v>
      </c>
      <c r="P74" s="50" t="str">
        <f t="shared" si="50"/>
        <v>23.3035714285714</v>
      </c>
      <c r="Q74" s="18" t="str">
        <f t="shared" si="51"/>
        <v>1+0.0865259455155173i</v>
      </c>
      <c r="R74" s="18">
        <f t="shared" si="63"/>
        <v>1.0037363893210978</v>
      </c>
      <c r="S74" s="18">
        <f t="shared" si="64"/>
        <v>8.6310977938747299E-2</v>
      </c>
      <c r="T74" s="18" t="str">
        <f t="shared" si="52"/>
        <v>1+0.000403787745739081i</v>
      </c>
      <c r="U74" s="18">
        <f t="shared" si="65"/>
        <v>1.0000000815222685</v>
      </c>
      <c r="V74" s="18">
        <f t="shared" si="66"/>
        <v>4.0378772379395361E-4</v>
      </c>
      <c r="W74" s="32" t="str">
        <f t="shared" si="53"/>
        <v>1-0.000557647859777764i</v>
      </c>
      <c r="X74" s="18">
        <f t="shared" si="67"/>
        <v>1.0000001554855558</v>
      </c>
      <c r="Y74" s="18">
        <f t="shared" si="68"/>
        <v>-5.5764780197364546E-4</v>
      </c>
      <c r="Z74" s="32" t="str">
        <f t="shared" si="54"/>
        <v>0.999999994726973+0.000273691668506677i</v>
      </c>
      <c r="AA74" s="18">
        <f t="shared" si="69"/>
        <v>1.0000000321805373</v>
      </c>
      <c r="AB74" s="18">
        <f t="shared" si="70"/>
        <v>2.7369166311604168E-4</v>
      </c>
      <c r="AC74" s="68" t="str">
        <f t="shared" si="71"/>
        <v>23.1295470840011-2.0112694150688i</v>
      </c>
      <c r="AD74" s="66">
        <f t="shared" si="72"/>
        <v>27.316058086715785</v>
      </c>
      <c r="AE74" s="63">
        <f t="shared" si="73"/>
        <v>-4.969751671836681</v>
      </c>
      <c r="AF74" s="51" t="e">
        <f t="shared" si="74"/>
        <v>#NUM!</v>
      </c>
      <c r="AG74" s="51" t="str">
        <f t="shared" si="55"/>
        <v>1-0.121136323721724i</v>
      </c>
      <c r="AH74" s="51">
        <f t="shared" si="75"/>
        <v>1.0073102843338859</v>
      </c>
      <c r="AI74" s="51">
        <f t="shared" si="76"/>
        <v>-0.12054896793368727</v>
      </c>
      <c r="AJ74" s="51" t="str">
        <f t="shared" si="56"/>
        <v>1+0.000403787745739081i</v>
      </c>
      <c r="AK74" s="51">
        <f t="shared" si="77"/>
        <v>1.0000000815222685</v>
      </c>
      <c r="AL74" s="51">
        <f t="shared" si="78"/>
        <v>4.0378772379395361E-4</v>
      </c>
      <c r="AM74" s="51" t="e">
        <f t="shared" si="57"/>
        <v>#NUM!</v>
      </c>
      <c r="AN74" s="51" t="e">
        <f t="shared" si="79"/>
        <v>#NUM!</v>
      </c>
      <c r="AO74" s="51" t="e">
        <f t="shared" si="80"/>
        <v>#NUM!</v>
      </c>
      <c r="AP74" s="60" t="e">
        <f t="shared" si="81"/>
        <v>#NUM!</v>
      </c>
      <c r="AQ74" s="51" t="e">
        <f t="shared" si="82"/>
        <v>#NUM!</v>
      </c>
      <c r="AR74" s="63" t="e">
        <f t="shared" si="83"/>
        <v>#NUM!</v>
      </c>
      <c r="AS74" s="32" t="str">
        <f t="shared" si="58"/>
        <v>-0.000170731707317073</v>
      </c>
      <c r="AT74" s="32" t="str">
        <f t="shared" si="59"/>
        <v>8.66888945654522E-06i</v>
      </c>
      <c r="AU74" s="32">
        <f t="shared" si="84"/>
        <v>8.6688894565452199E-6</v>
      </c>
      <c r="AV74" s="32">
        <f t="shared" si="85"/>
        <v>1.5707963267948966</v>
      </c>
      <c r="AW74" s="32" t="str">
        <f t="shared" si="60"/>
        <v>1+0.0018456810072855i</v>
      </c>
      <c r="AX74" s="32">
        <f t="shared" si="86"/>
        <v>1.0000017032677397</v>
      </c>
      <c r="AY74" s="32">
        <f t="shared" si="87"/>
        <v>1.8456789114953871E-3</v>
      </c>
      <c r="AZ74" s="32" t="str">
        <f t="shared" si="61"/>
        <v>1+0.0350679391384246i</v>
      </c>
      <c r="BA74" s="32">
        <f t="shared" si="88"/>
        <v>1.0006146912550387</v>
      </c>
      <c r="BB74" s="32">
        <f t="shared" si="89"/>
        <v>3.5053574682073096E-2</v>
      </c>
      <c r="BC74" s="60" t="str">
        <f t="shared" si="90"/>
        <v>-0.654302209983675+19.6959687871603i</v>
      </c>
      <c r="BD74" s="51">
        <f t="shared" si="91"/>
        <v>25.892337072122299</v>
      </c>
      <c r="BE74" s="63">
        <f t="shared" si="92"/>
        <v>91.902672274164445</v>
      </c>
      <c r="BF74" s="60" t="str">
        <f t="shared" si="93"/>
        <v>24.4801858487819+456.874815450792i</v>
      </c>
      <c r="BG74" s="66">
        <f t="shared" si="94"/>
        <v>53.20839515883808</v>
      </c>
      <c r="BH74" s="63">
        <f t="shared" si="95"/>
        <v>86.932920602327769</v>
      </c>
      <c r="BI74" s="60" t="e">
        <f t="shared" si="101"/>
        <v>#NUM!</v>
      </c>
      <c r="BJ74" s="66" t="e">
        <f t="shared" si="97"/>
        <v>#NUM!</v>
      </c>
      <c r="BK74" s="63" t="e">
        <f t="shared" si="102"/>
        <v>#NUM!</v>
      </c>
      <c r="BL74" s="51">
        <f t="shared" si="99"/>
        <v>53.20839515883808</v>
      </c>
      <c r="BM74" s="63">
        <f t="shared" si="100"/>
        <v>86.932920602327769</v>
      </c>
    </row>
    <row r="75" spans="1:65" x14ac:dyDescent="0.3">
      <c r="N75" s="11">
        <v>57</v>
      </c>
      <c r="O75" s="52">
        <f t="shared" si="62"/>
        <v>37.15352290971726</v>
      </c>
      <c r="P75" s="50" t="str">
        <f t="shared" si="50"/>
        <v>23.3035714285714</v>
      </c>
      <c r="Q75" s="18" t="str">
        <f t="shared" si="51"/>
        <v>1+0.0885413936964951i</v>
      </c>
      <c r="R75" s="18">
        <f t="shared" si="63"/>
        <v>1.0039121367917203</v>
      </c>
      <c r="S75" s="18">
        <f t="shared" si="64"/>
        <v>8.8311100239555643E-2</v>
      </c>
      <c r="T75" s="18" t="str">
        <f t="shared" si="52"/>
        <v>1+0.000413193170583644i</v>
      </c>
      <c r="U75" s="18">
        <f t="shared" si="65"/>
        <v>1.0000000853642945</v>
      </c>
      <c r="V75" s="18">
        <f t="shared" si="66"/>
        <v>4.1319314706901643E-4</v>
      </c>
      <c r="W75" s="32" t="str">
        <f t="shared" si="53"/>
        <v>1-0.000570637147070946i</v>
      </c>
      <c r="X75" s="18">
        <f t="shared" si="67"/>
        <v>1.0000001628133635</v>
      </c>
      <c r="Y75" s="18">
        <f t="shared" si="68"/>
        <v>-5.7063708513271753E-4</v>
      </c>
      <c r="Z75" s="32" t="str">
        <f t="shared" si="54"/>
        <v>0.999999994478463+0.00028006676642851i</v>
      </c>
      <c r="AA75" s="18">
        <f t="shared" si="69"/>
        <v>1.0000000336971593</v>
      </c>
      <c r="AB75" s="18">
        <f t="shared" si="70"/>
        <v>2.800667606523402E-4</v>
      </c>
      <c r="AC75" s="68" t="str">
        <f t="shared" si="71"/>
        <v>23.1214093655941-2.05739737313667i</v>
      </c>
      <c r="AD75" s="66">
        <f t="shared" si="72"/>
        <v>27.314537463010321</v>
      </c>
      <c r="AE75" s="63">
        <f t="shared" si="73"/>
        <v>-5.0849208444115312</v>
      </c>
      <c r="AF75" s="51" t="e">
        <f t="shared" si="74"/>
        <v>#NUM!</v>
      </c>
      <c r="AG75" s="51" t="str">
        <f t="shared" si="55"/>
        <v>1-0.123957951175093i</v>
      </c>
      <c r="AH75" s="51">
        <f t="shared" si="75"/>
        <v>1.0076534988077632</v>
      </c>
      <c r="AI75" s="51">
        <f t="shared" si="76"/>
        <v>-0.12332884599659198</v>
      </c>
      <c r="AJ75" s="51" t="str">
        <f t="shared" si="56"/>
        <v>1+0.000413193170583644i</v>
      </c>
      <c r="AK75" s="51">
        <f t="shared" si="77"/>
        <v>1.0000000853642945</v>
      </c>
      <c r="AL75" s="51">
        <f t="shared" si="78"/>
        <v>4.1319314706901643E-4</v>
      </c>
      <c r="AM75" s="51" t="e">
        <f t="shared" si="57"/>
        <v>#NUM!</v>
      </c>
      <c r="AN75" s="51" t="e">
        <f t="shared" si="79"/>
        <v>#NUM!</v>
      </c>
      <c r="AO75" s="51" t="e">
        <f t="shared" si="80"/>
        <v>#NUM!</v>
      </c>
      <c r="AP75" s="60" t="e">
        <f t="shared" si="81"/>
        <v>#NUM!</v>
      </c>
      <c r="AQ75" s="51" t="e">
        <f t="shared" si="82"/>
        <v>#NUM!</v>
      </c>
      <c r="AR75" s="63" t="e">
        <f t="shared" si="83"/>
        <v>#NUM!</v>
      </c>
      <c r="AS75" s="32" t="str">
        <f t="shared" si="58"/>
        <v>-0.000170731707317073</v>
      </c>
      <c r="AT75" s="32" t="str">
        <f t="shared" si="59"/>
        <v>8.87081383173924E-06i</v>
      </c>
      <c r="AU75" s="32">
        <f t="shared" si="84"/>
        <v>8.8708138317392393E-6</v>
      </c>
      <c r="AV75" s="32">
        <f t="shared" si="85"/>
        <v>1.5707963267948966</v>
      </c>
      <c r="AW75" s="32" t="str">
        <f t="shared" si="60"/>
        <v>1+0.00188867244074094i</v>
      </c>
      <c r="AX75" s="32">
        <f t="shared" si="86"/>
        <v>1.0000017835402037</v>
      </c>
      <c r="AY75" s="32">
        <f t="shared" si="87"/>
        <v>1.8886701950615904E-3</v>
      </c>
      <c r="AZ75" s="32" t="str">
        <f t="shared" si="61"/>
        <v>1+0.0358847763740778i</v>
      </c>
      <c r="BA75" s="32">
        <f t="shared" si="88"/>
        <v>1.0006436514441179</v>
      </c>
      <c r="BB75" s="32">
        <f t="shared" si="89"/>
        <v>3.5869385116456633E-2</v>
      </c>
      <c r="BC75" s="60" t="str">
        <f t="shared" si="90"/>
        <v>-0.654302104938963+19.2476894198753i</v>
      </c>
      <c r="BD75" s="51">
        <f t="shared" si="91"/>
        <v>25.692587761726621</v>
      </c>
      <c r="BE75" s="63">
        <f t="shared" si="92"/>
        <v>91.946951549833159</v>
      </c>
      <c r="BF75" s="60" t="str">
        <f t="shared" si="93"/>
        <v>24.4717588343382+446.37986585069i</v>
      </c>
      <c r="BG75" s="66">
        <f t="shared" si="94"/>
        <v>53.007125224736939</v>
      </c>
      <c r="BH75" s="63">
        <f t="shared" si="95"/>
        <v>86.862030705421631</v>
      </c>
      <c r="BI75" s="60" t="e">
        <f t="shared" si="101"/>
        <v>#NUM!</v>
      </c>
      <c r="BJ75" s="66" t="e">
        <f t="shared" si="97"/>
        <v>#NUM!</v>
      </c>
      <c r="BK75" s="63" t="e">
        <f t="shared" si="102"/>
        <v>#NUM!</v>
      </c>
      <c r="BL75" s="51">
        <f t="shared" si="99"/>
        <v>53.007125224736939</v>
      </c>
      <c r="BM75" s="63">
        <f t="shared" si="100"/>
        <v>86.862030705421631</v>
      </c>
    </row>
    <row r="76" spans="1:65" x14ac:dyDescent="0.3">
      <c r="N76" s="11">
        <v>58</v>
      </c>
      <c r="O76" s="52">
        <f t="shared" si="62"/>
        <v>38.018939632056139</v>
      </c>
      <c r="P76" s="50" t="str">
        <f t="shared" si="50"/>
        <v>23.3035714285714</v>
      </c>
      <c r="Q76" s="18" t="str">
        <f t="shared" si="51"/>
        <v>1+0.0906037876963948i</v>
      </c>
      <c r="R76" s="18">
        <f t="shared" si="63"/>
        <v>1.0040961340155301</v>
      </c>
      <c r="S76" s="18">
        <f t="shared" si="64"/>
        <v>9.0357078147126471E-2</v>
      </c>
      <c r="T76" s="18" t="str">
        <f t="shared" si="52"/>
        <v>1+0.000422817675916509i</v>
      </c>
      <c r="U76" s="18">
        <f t="shared" si="65"/>
        <v>1.0000000893873895</v>
      </c>
      <c r="V76" s="18">
        <f t="shared" si="66"/>
        <v>4.2281765072013172E-4</v>
      </c>
      <c r="W76" s="32" t="str">
        <f t="shared" si="53"/>
        <v>1-0.000583928993732781i</v>
      </c>
      <c r="X76" s="18">
        <f t="shared" si="67"/>
        <v>1.0000001704865205</v>
      </c>
      <c r="Y76" s="18">
        <f t="shared" si="68"/>
        <v>-5.8392892736477411E-4</v>
      </c>
      <c r="Z76" s="32" t="str">
        <f t="shared" si="54"/>
        <v>0.999999994218241+0.000286590359457025i</v>
      </c>
      <c r="AA76" s="18">
        <f t="shared" si="69"/>
        <v>1.0000000352852574</v>
      </c>
      <c r="AB76" s="18">
        <f t="shared" si="70"/>
        <v>2.865903532677475E-4</v>
      </c>
      <c r="AC76" s="68" t="str">
        <f t="shared" si="71"/>
        <v>23.112894233169-2.10454881105724i</v>
      </c>
      <c r="AD76" s="66">
        <f t="shared" si="72"/>
        <v>27.312945745030262</v>
      </c>
      <c r="AE76" s="63">
        <f t="shared" si="73"/>
        <v>-5.2027306408392171</v>
      </c>
      <c r="AF76" s="51" t="e">
        <f t="shared" si="74"/>
        <v>#NUM!</v>
      </c>
      <c r="AG76" s="51" t="str">
        <f t="shared" si="55"/>
        <v>1-0.126845302774953i</v>
      </c>
      <c r="AH76" s="51">
        <f t="shared" si="75"/>
        <v>1.0080127632307387</v>
      </c>
      <c r="AI76" s="51">
        <f t="shared" si="76"/>
        <v>-0.12617149349716558</v>
      </c>
      <c r="AJ76" s="51" t="str">
        <f t="shared" si="56"/>
        <v>1+0.000422817675916509i</v>
      </c>
      <c r="AK76" s="51">
        <f t="shared" si="77"/>
        <v>1.0000000893873895</v>
      </c>
      <c r="AL76" s="51">
        <f t="shared" si="78"/>
        <v>4.2281765072013172E-4</v>
      </c>
      <c r="AM76" s="51" t="e">
        <f t="shared" si="57"/>
        <v>#NUM!</v>
      </c>
      <c r="AN76" s="51" t="e">
        <f t="shared" si="79"/>
        <v>#NUM!</v>
      </c>
      <c r="AO76" s="51" t="e">
        <f t="shared" si="80"/>
        <v>#NUM!</v>
      </c>
      <c r="AP76" s="60" t="e">
        <f t="shared" si="81"/>
        <v>#NUM!</v>
      </c>
      <c r="AQ76" s="51" t="e">
        <f t="shared" si="82"/>
        <v>#NUM!</v>
      </c>
      <c r="AR76" s="63" t="e">
        <f t="shared" si="83"/>
        <v>#NUM!</v>
      </c>
      <c r="AS76" s="32" t="str">
        <f t="shared" si="58"/>
        <v>-0.000170731707317073</v>
      </c>
      <c r="AT76" s="32" t="str">
        <f t="shared" si="59"/>
        <v>9.07744162984595E-06i</v>
      </c>
      <c r="AU76" s="32">
        <f t="shared" si="84"/>
        <v>9.0774416298459503E-6</v>
      </c>
      <c r="AV76" s="32">
        <f t="shared" si="85"/>
        <v>1.5707963267948966</v>
      </c>
      <c r="AW76" s="32" t="str">
        <f t="shared" si="60"/>
        <v>1+0.00193266527332399i</v>
      </c>
      <c r="AX76" s="32">
        <f t="shared" si="86"/>
        <v>1.0000018675957854</v>
      </c>
      <c r="AY76" s="32">
        <f t="shared" si="87"/>
        <v>1.9326628670354564E-3</v>
      </c>
      <c r="AZ76" s="32" t="str">
        <f t="shared" si="61"/>
        <v>1+0.0367206401931558i</v>
      </c>
      <c r="BA76" s="32">
        <f t="shared" si="88"/>
        <v>1.0006739755865519</v>
      </c>
      <c r="BB76" s="32">
        <f t="shared" si="89"/>
        <v>3.670414876334023E-2</v>
      </c>
      <c r="BC76" s="60" t="str">
        <f t="shared" si="90"/>
        <v>-0.654301994943685+18.8096154322754i</v>
      </c>
      <c r="BD76" s="51">
        <f t="shared" si="91"/>
        <v>25.49285025037301</v>
      </c>
      <c r="BE76" s="63">
        <f t="shared" si="92"/>
        <v>91.992259389256915</v>
      </c>
      <c r="BF76" s="60" t="str">
        <f t="shared" si="93"/>
        <v>24.4629409887542+436.121662538296i</v>
      </c>
      <c r="BG76" s="66">
        <f t="shared" si="94"/>
        <v>52.80579599540328</v>
      </c>
      <c r="BH76" s="63">
        <f t="shared" si="95"/>
        <v>86.789528748417709</v>
      </c>
      <c r="BI76" s="60" t="e">
        <f t="shared" si="101"/>
        <v>#NUM!</v>
      </c>
      <c r="BJ76" s="66" t="e">
        <f t="shared" si="97"/>
        <v>#NUM!</v>
      </c>
      <c r="BK76" s="63" t="e">
        <f t="shared" si="102"/>
        <v>#NUM!</v>
      </c>
      <c r="BL76" s="51">
        <f t="shared" si="99"/>
        <v>52.80579599540328</v>
      </c>
      <c r="BM76" s="63">
        <f t="shared" si="100"/>
        <v>86.789528748417709</v>
      </c>
    </row>
    <row r="77" spans="1:65" x14ac:dyDescent="0.3">
      <c r="N77" s="11">
        <v>59</v>
      </c>
      <c r="O77" s="52">
        <f t="shared" si="62"/>
        <v>38.904514499428053</v>
      </c>
      <c r="P77" s="50" t="str">
        <f t="shared" si="50"/>
        <v>23.3035714285714</v>
      </c>
      <c r="Q77" s="18" t="str">
        <f t="shared" si="51"/>
        <v>1+0.092714221023814i</v>
      </c>
      <c r="R77" s="18">
        <f t="shared" si="63"/>
        <v>1.0042887666304212</v>
      </c>
      <c r="S77" s="18">
        <f t="shared" si="64"/>
        <v>9.244992791197347E-2</v>
      </c>
      <c r="T77" s="18" t="str">
        <f t="shared" si="52"/>
        <v>1+0.000432666364777799i</v>
      </c>
      <c r="U77" s="18">
        <f t="shared" si="65"/>
        <v>1.0000000936000872</v>
      </c>
      <c r="V77" s="18">
        <f t="shared" si="66"/>
        <v>4.3266633777939447E-4</v>
      </c>
      <c r="W77" s="32" t="str">
        <f t="shared" si="53"/>
        <v>1-0.000597530447276307i</v>
      </c>
      <c r="X77" s="18">
        <f t="shared" si="67"/>
        <v>1.0000001785213017</v>
      </c>
      <c r="Y77" s="18">
        <f t="shared" si="68"/>
        <v>-5.9753037616170701E-4</v>
      </c>
      <c r="Z77" s="32" t="str">
        <f t="shared" si="54"/>
        <v>0.999999993945755+0.000293265906487596i</v>
      </c>
      <c r="AA77" s="18">
        <f t="shared" si="69"/>
        <v>1.0000000369482003</v>
      </c>
      <c r="AB77" s="18">
        <f t="shared" si="70"/>
        <v>2.9326589985566575E-4</v>
      </c>
      <c r="AC77" s="68" t="str">
        <f t="shared" si="71"/>
        <v>23.1039844813733-2.15274398961338i</v>
      </c>
      <c r="AD77" s="66">
        <f t="shared" si="72"/>
        <v>27.311279636789049</v>
      </c>
      <c r="AE77" s="63">
        <f t="shared" si="73"/>
        <v>-5.3232395975744167</v>
      </c>
      <c r="AF77" s="51" t="e">
        <f t="shared" si="74"/>
        <v>#NUM!</v>
      </c>
      <c r="AG77" s="51" t="str">
        <f t="shared" si="55"/>
        <v>1-0.12979990943334i</v>
      </c>
      <c r="AH77" s="51">
        <f t="shared" si="75"/>
        <v>1.0083888220765358</v>
      </c>
      <c r="AI77" s="51">
        <f t="shared" si="76"/>
        <v>-0.12907823378319941</v>
      </c>
      <c r="AJ77" s="51" t="str">
        <f t="shared" si="56"/>
        <v>1+0.000432666364777799i</v>
      </c>
      <c r="AK77" s="51">
        <f t="shared" si="77"/>
        <v>1.0000000936000872</v>
      </c>
      <c r="AL77" s="51">
        <f t="shared" si="78"/>
        <v>4.3266633777939447E-4</v>
      </c>
      <c r="AM77" s="51" t="e">
        <f t="shared" si="57"/>
        <v>#NUM!</v>
      </c>
      <c r="AN77" s="51" t="e">
        <f t="shared" si="79"/>
        <v>#NUM!</v>
      </c>
      <c r="AO77" s="51" t="e">
        <f t="shared" si="80"/>
        <v>#NUM!</v>
      </c>
      <c r="AP77" s="60" t="e">
        <f t="shared" si="81"/>
        <v>#NUM!</v>
      </c>
      <c r="AQ77" s="51" t="e">
        <f t="shared" si="82"/>
        <v>#NUM!</v>
      </c>
      <c r="AR77" s="63" t="e">
        <f t="shared" si="83"/>
        <v>#NUM!</v>
      </c>
      <c r="AS77" s="32" t="str">
        <f t="shared" si="58"/>
        <v>-0.000170731707317073</v>
      </c>
      <c r="AT77" s="32" t="str">
        <f t="shared" si="59"/>
        <v>9.28888240765894E-06i</v>
      </c>
      <c r="AU77" s="32">
        <f t="shared" si="84"/>
        <v>9.2888824076589403E-6</v>
      </c>
      <c r="AV77" s="32">
        <f t="shared" si="85"/>
        <v>1.5707963267948966</v>
      </c>
      <c r="AW77" s="32" t="str">
        <f t="shared" si="60"/>
        <v>1+0.0019776828306168i</v>
      </c>
      <c r="AX77" s="32">
        <f t="shared" si="86"/>
        <v>1.000001955612777</v>
      </c>
      <c r="AY77" s="32">
        <f t="shared" si="87"/>
        <v>1.9776802522324544E-3</v>
      </c>
      <c r="AZ77" s="32" t="str">
        <f t="shared" si="61"/>
        <v>1+0.0375759737817193i</v>
      </c>
      <c r="BA77" s="32">
        <f t="shared" si="88"/>
        <v>1.000705727876904</v>
      </c>
      <c r="BB77" s="32">
        <f t="shared" si="89"/>
        <v>3.7558303569292344E-2</v>
      </c>
      <c r="BC77" s="60" t="str">
        <f t="shared" si="90"/>
        <v>-0.654301879764529+18.3815145517322i</v>
      </c>
      <c r="BD77" s="51">
        <f t="shared" si="91"/>
        <v>25.293125092630561</v>
      </c>
      <c r="BE77" s="63">
        <f t="shared" si="92"/>
        <v>92.038619548512287</v>
      </c>
      <c r="BF77" s="60" t="str">
        <f t="shared" si="93"/>
        <v>24.4537144950193+426.094771386414i</v>
      </c>
      <c r="BG77" s="66">
        <f t="shared" si="94"/>
        <v>52.604404729419613</v>
      </c>
      <c r="BH77" s="63">
        <f t="shared" si="95"/>
        <v>86.715379950937887</v>
      </c>
      <c r="BI77" s="60" t="e">
        <f t="shared" si="101"/>
        <v>#NUM!</v>
      </c>
      <c r="BJ77" s="66" t="e">
        <f t="shared" si="97"/>
        <v>#NUM!</v>
      </c>
      <c r="BK77" s="63" t="e">
        <f t="shared" si="102"/>
        <v>#NUM!</v>
      </c>
      <c r="BL77" s="51">
        <f t="shared" si="99"/>
        <v>52.604404729419613</v>
      </c>
      <c r="BM77" s="63">
        <f t="shared" si="100"/>
        <v>86.715379950937887</v>
      </c>
    </row>
    <row r="78" spans="1:65" x14ac:dyDescent="0.3">
      <c r="N78" s="11">
        <v>60</v>
      </c>
      <c r="O78" s="52">
        <f t="shared" si="62"/>
        <v>39.810717055349755</v>
      </c>
      <c r="P78" s="50" t="str">
        <f t="shared" si="50"/>
        <v>23.3035714285714</v>
      </c>
      <c r="Q78" s="18" t="str">
        <f t="shared" si="51"/>
        <v>1+0.0948738126584376i</v>
      </c>
      <c r="R78" s="18">
        <f t="shared" si="63"/>
        <v>1.0044904381467989</v>
      </c>
      <c r="S78" s="18">
        <f t="shared" si="64"/>
        <v>9.4590685816427961E-2</v>
      </c>
      <c r="T78" s="18" t="str">
        <f t="shared" si="52"/>
        <v>1+0.000442744459072709i</v>
      </c>
      <c r="U78" s="18">
        <f t="shared" si="65"/>
        <v>1.0000000980113233</v>
      </c>
      <c r="V78" s="18">
        <f t="shared" si="66"/>
        <v>4.4274443014339748E-4</v>
      </c>
      <c r="W78" s="32" t="str">
        <f t="shared" si="53"/>
        <v>1-0.000611448719372228i</v>
      </c>
      <c r="X78" s="18">
        <f t="shared" si="67"/>
        <v>1.0000001869347508</v>
      </c>
      <c r="Y78" s="18">
        <f t="shared" si="68"/>
        <v>-6.1144864317156202E-4</v>
      </c>
      <c r="Z78" s="32" t="str">
        <f t="shared" si="54"/>
        <v>0.999999993660427+0.000300096946983619i</v>
      </c>
      <c r="AA78" s="18">
        <f t="shared" si="69"/>
        <v>1.0000000386895149</v>
      </c>
      <c r="AB78" s="18">
        <f t="shared" si="70"/>
        <v>3.0009693987737777E-4</v>
      </c>
      <c r="AC78" s="68" t="str">
        <f t="shared" si="71"/>
        <v>23.094662149027-2.20200339357935i</v>
      </c>
      <c r="AD78" s="66">
        <f t="shared" si="72"/>
        <v>27.309535692163767</v>
      </c>
      <c r="AE78" s="63">
        <f t="shared" si="73"/>
        <v>-5.4465074060216443</v>
      </c>
      <c r="AF78" s="51" t="e">
        <f t="shared" si="74"/>
        <v>#NUM!</v>
      </c>
      <c r="AG78" s="51" t="str">
        <f t="shared" si="55"/>
        <v>1-0.132823337721813i</v>
      </c>
      <c r="AH78" s="51">
        <f t="shared" si="75"/>
        <v>1.0087824537746297</v>
      </c>
      <c r="AI78" s="51">
        <f t="shared" si="76"/>
        <v>-0.13205041146667637</v>
      </c>
      <c r="AJ78" s="51" t="str">
        <f t="shared" si="56"/>
        <v>1+0.000442744459072709i</v>
      </c>
      <c r="AK78" s="51">
        <f t="shared" si="77"/>
        <v>1.0000000980113233</v>
      </c>
      <c r="AL78" s="51">
        <f t="shared" si="78"/>
        <v>4.4274443014339748E-4</v>
      </c>
      <c r="AM78" s="51" t="e">
        <f t="shared" si="57"/>
        <v>#NUM!</v>
      </c>
      <c r="AN78" s="51" t="e">
        <f t="shared" si="79"/>
        <v>#NUM!</v>
      </c>
      <c r="AO78" s="51" t="e">
        <f t="shared" si="80"/>
        <v>#NUM!</v>
      </c>
      <c r="AP78" s="60" t="e">
        <f t="shared" si="81"/>
        <v>#NUM!</v>
      </c>
      <c r="AQ78" s="51" t="e">
        <f t="shared" si="82"/>
        <v>#NUM!</v>
      </c>
      <c r="AR78" s="63" t="e">
        <f t="shared" si="83"/>
        <v>#NUM!</v>
      </c>
      <c r="AS78" s="32" t="str">
        <f t="shared" si="58"/>
        <v>-0.000170731707317073</v>
      </c>
      <c r="AT78" s="32" t="str">
        <f t="shared" si="59"/>
        <v>9.50524827387738E-06i</v>
      </c>
      <c r="AU78" s="32">
        <f t="shared" si="84"/>
        <v>9.5052482738773798E-6</v>
      </c>
      <c r="AV78" s="32">
        <f t="shared" si="85"/>
        <v>1.5707963267948966</v>
      </c>
      <c r="AW78" s="32" t="str">
        <f t="shared" si="60"/>
        <v>1+0.00202374898152414i</v>
      </c>
      <c r="AX78" s="32">
        <f t="shared" si="86"/>
        <v>1.0000020477778735</v>
      </c>
      <c r="AY78" s="32">
        <f t="shared" si="87"/>
        <v>2.0237462187358431E-3</v>
      </c>
      <c r="AZ78" s="32" t="str">
        <f t="shared" si="61"/>
        <v>1+0.0384512306489587i</v>
      </c>
      <c r="BA78" s="32">
        <f t="shared" si="88"/>
        <v>1.000738975526795</v>
      </c>
      <c r="BB78" s="32">
        <f t="shared" si="89"/>
        <v>3.8432297430254281E-2</v>
      </c>
      <c r="BC78" s="60" t="str">
        <f t="shared" si="90"/>
        <v>-0.654301759157191+17.9631597934909i</v>
      </c>
      <c r="BD78" s="51">
        <f t="shared" si="91"/>
        <v>25.093412869059915</v>
      </c>
      <c r="BE78" s="63">
        <f t="shared" si="92"/>
        <v>92.086056322605927</v>
      </c>
      <c r="BF78" s="60" t="str">
        <f t="shared" si="93"/>
        <v>24.4440607534257+416.293881253747i</v>
      </c>
      <c r="BG78" s="66">
        <f t="shared" si="94"/>
        <v>52.402948561223681</v>
      </c>
      <c r="BH78" s="63">
        <f t="shared" si="95"/>
        <v>86.639548916584289</v>
      </c>
      <c r="BI78" s="60" t="e">
        <f t="shared" si="101"/>
        <v>#NUM!</v>
      </c>
      <c r="BJ78" s="66" t="e">
        <f t="shared" si="97"/>
        <v>#NUM!</v>
      </c>
      <c r="BK78" s="63" t="e">
        <f t="shared" si="102"/>
        <v>#NUM!</v>
      </c>
      <c r="BL78" s="51">
        <f t="shared" si="99"/>
        <v>52.402948561223681</v>
      </c>
      <c r="BM78" s="63">
        <f t="shared" si="100"/>
        <v>86.639548916584289</v>
      </c>
    </row>
    <row r="79" spans="1:65" x14ac:dyDescent="0.3">
      <c r="N79" s="11">
        <v>61</v>
      </c>
      <c r="O79" s="52">
        <f t="shared" si="62"/>
        <v>40.738027780411279</v>
      </c>
      <c r="P79" s="50" t="str">
        <f t="shared" si="50"/>
        <v>23.3035714285714</v>
      </c>
      <c r="Q79" s="18" t="str">
        <f t="shared" si="51"/>
        <v>1+0.0970837076443364i</v>
      </c>
      <c r="R79" s="18">
        <f t="shared" si="63"/>
        <v>1.0047015707611742</v>
      </c>
      <c r="S79" s="18">
        <f t="shared" si="64"/>
        <v>9.6780408389294276E-2</v>
      </c>
      <c r="T79" s="18" t="str">
        <f t="shared" si="52"/>
        <v>1+0.000453057302340237i</v>
      </c>
      <c r="U79" s="18">
        <f t="shared" si="65"/>
        <v>1.0000001026304544</v>
      </c>
      <c r="V79" s="18">
        <f t="shared" si="66"/>
        <v>4.5305727134192135E-4</v>
      </c>
      <c r="W79" s="32" t="str">
        <f t="shared" si="53"/>
        <v>1-0.000625691189672643i</v>
      </c>
      <c r="X79" s="18">
        <f t="shared" si="67"/>
        <v>1.0000001957447133</v>
      </c>
      <c r="Y79" s="18">
        <f t="shared" si="68"/>
        <v>-6.2569110802215919E-4</v>
      </c>
      <c r="Z79" s="32" t="str">
        <f t="shared" si="54"/>
        <v>0.999999993361652+0.000307087102853187i</v>
      </c>
      <c r="AA79" s="18">
        <f t="shared" si="69"/>
        <v>1.0000000405128955</v>
      </c>
      <c r="AB79" s="18">
        <f t="shared" si="70"/>
        <v>3.0708709523871242E-4</v>
      </c>
      <c r="AC79" s="68" t="str">
        <f t="shared" si="71"/>
        <v>23.0849084886541-2.25234772016543i</v>
      </c>
      <c r="AD79" s="66">
        <f t="shared" si="72"/>
        <v>27.30771030831108</v>
      </c>
      <c r="AE79" s="63">
        <f t="shared" si="73"/>
        <v>-5.5725949250021243</v>
      </c>
      <c r="AF79" s="51" t="e">
        <f t="shared" si="74"/>
        <v>#NUM!</v>
      </c>
      <c r="AG79" s="51" t="str">
        <f t="shared" si="55"/>
        <v>1-0.135917190702071i</v>
      </c>
      <c r="AH79" s="51">
        <f t="shared" si="75"/>
        <v>1.0091944722046109</v>
      </c>
      <c r="AI79" s="51">
        <f t="shared" si="76"/>
        <v>-0.13508939227821901</v>
      </c>
      <c r="AJ79" s="51" t="str">
        <f t="shared" si="56"/>
        <v>1+0.000453057302340237i</v>
      </c>
      <c r="AK79" s="51">
        <f t="shared" si="77"/>
        <v>1.0000001026304544</v>
      </c>
      <c r="AL79" s="51">
        <f t="shared" si="78"/>
        <v>4.5305727134192135E-4</v>
      </c>
      <c r="AM79" s="51" t="e">
        <f t="shared" si="57"/>
        <v>#NUM!</v>
      </c>
      <c r="AN79" s="51" t="e">
        <f t="shared" si="79"/>
        <v>#NUM!</v>
      </c>
      <c r="AO79" s="51" t="e">
        <f t="shared" si="80"/>
        <v>#NUM!</v>
      </c>
      <c r="AP79" s="60" t="e">
        <f t="shared" si="81"/>
        <v>#NUM!</v>
      </c>
      <c r="AQ79" s="51" t="e">
        <f t="shared" si="82"/>
        <v>#NUM!</v>
      </c>
      <c r="AR79" s="63" t="e">
        <f t="shared" si="83"/>
        <v>#NUM!</v>
      </c>
      <c r="AS79" s="32" t="str">
        <f t="shared" si="58"/>
        <v>-0.000170731707317073</v>
      </c>
      <c r="AT79" s="32" t="str">
        <f t="shared" si="59"/>
        <v>9.72665394854745E-06i</v>
      </c>
      <c r="AU79" s="32">
        <f t="shared" si="84"/>
        <v>9.7266539485474499E-6</v>
      </c>
      <c r="AV79" s="32">
        <f t="shared" si="85"/>
        <v>1.5707963267948966</v>
      </c>
      <c r="AW79" s="32" t="str">
        <f t="shared" si="60"/>
        <v>1+0.00207088815092896i</v>
      </c>
      <c r="AX79" s="32">
        <f t="shared" si="86"/>
        <v>1.0000021442865679</v>
      </c>
      <c r="AY79" s="32">
        <f t="shared" si="87"/>
        <v>2.0708851905483069E-3</v>
      </c>
      <c r="AZ79" s="32" t="str">
        <f t="shared" si="61"/>
        <v>1+0.0393468748676504i</v>
      </c>
      <c r="BA79" s="32">
        <f t="shared" si="88"/>
        <v>1.0007737889062895</v>
      </c>
      <c r="BB79" s="32">
        <f t="shared" si="89"/>
        <v>3.9326588405383368E-2</v>
      </c>
      <c r="BC79" s="60" t="str">
        <f t="shared" si="90"/>
        <v>-0.654301632865851+17.5543293403197i</v>
      </c>
      <c r="BD79" s="51">
        <f t="shared" si="91"/>
        <v>24.893714187424148</v>
      </c>
      <c r="BE79" s="63">
        <f t="shared" si="92"/>
        <v>92.134594557002018</v>
      </c>
      <c r="BF79" s="60" t="str">
        <f t="shared" si="93"/>
        <v>24.4339603500171+406.713801192062i</v>
      </c>
      <c r="BG79" s="66">
        <f t="shared" si="94"/>
        <v>52.201424495735232</v>
      </c>
      <c r="BH79" s="63">
        <f t="shared" si="95"/>
        <v>86.56199963199991</v>
      </c>
      <c r="BI79" s="60" t="e">
        <f t="shared" si="101"/>
        <v>#NUM!</v>
      </c>
      <c r="BJ79" s="66" t="e">
        <f t="shared" si="97"/>
        <v>#NUM!</v>
      </c>
      <c r="BK79" s="63" t="e">
        <f t="shared" si="102"/>
        <v>#NUM!</v>
      </c>
      <c r="BL79" s="51">
        <f t="shared" si="99"/>
        <v>52.201424495735232</v>
      </c>
      <c r="BM79" s="63">
        <f t="shared" si="100"/>
        <v>86.56199963199991</v>
      </c>
    </row>
    <row r="80" spans="1:65" x14ac:dyDescent="0.3">
      <c r="N80" s="11">
        <v>62</v>
      </c>
      <c r="O80" s="52">
        <f t="shared" si="62"/>
        <v>41.686938347033561</v>
      </c>
      <c r="P80" s="50" t="str">
        <f t="shared" si="50"/>
        <v>23.3035714285714</v>
      </c>
      <c r="Q80" s="18" t="str">
        <f t="shared" si="51"/>
        <v>1+0.0993450776970831i</v>
      </c>
      <c r="R80" s="18">
        <f t="shared" si="63"/>
        <v>1.0049226062053931</v>
      </c>
      <c r="S80" s="18">
        <f t="shared" si="64"/>
        <v>9.9020172608482102E-2</v>
      </c>
      <c r="T80" s="18" t="str">
        <f t="shared" si="52"/>
        <v>1+0.000463610362586388i</v>
      </c>
      <c r="U80" s="18">
        <f t="shared" si="65"/>
        <v>1.0000001074672784</v>
      </c>
      <c r="V80" s="18">
        <f t="shared" si="66"/>
        <v>4.6361032937109457E-4</v>
      </c>
      <c r="W80" s="32" t="str">
        <f t="shared" si="53"/>
        <v>1-0.000640265409723825i</v>
      </c>
      <c r="X80" s="18">
        <f t="shared" si="67"/>
        <v>1.0000002049698764</v>
      </c>
      <c r="Y80" s="18">
        <f t="shared" si="68"/>
        <v>-6.4026532223375628E-4</v>
      </c>
      <c r="Z80" s="32" t="str">
        <f t="shared" si="54"/>
        <v>0.999999993048797+0.000314240080369466i</v>
      </c>
      <c r="AA80" s="18">
        <f t="shared" si="69"/>
        <v>1.0000000424222102</v>
      </c>
      <c r="AB80" s="18">
        <f t="shared" si="70"/>
        <v>3.1424007221040923E-4</v>
      </c>
      <c r="AC80" s="68" t="str">
        <f t="shared" si="71"/>
        <v>23.074703935053-2.30379786610731i</v>
      </c>
      <c r="AD80" s="66">
        <f t="shared" si="72"/>
        <v>27.305799718819145</v>
      </c>
      <c r="AE80" s="63">
        <f t="shared" si="73"/>
        <v>-5.7015641925354332</v>
      </c>
      <c r="AF80" s="51" t="e">
        <f t="shared" si="74"/>
        <v>#NUM!</v>
      </c>
      <c r="AG80" s="51" t="str">
        <f t="shared" si="55"/>
        <v>1-0.139083108775917i</v>
      </c>
      <c r="AH80" s="51">
        <f t="shared" si="75"/>
        <v>1.0096257282512038</v>
      </c>
      <c r="AI80" s="51">
        <f t="shared" si="76"/>
        <v>-0.13819656287733117</v>
      </c>
      <c r="AJ80" s="51" t="str">
        <f t="shared" si="56"/>
        <v>1+0.000463610362586388i</v>
      </c>
      <c r="AK80" s="51">
        <f t="shared" si="77"/>
        <v>1.0000001074672784</v>
      </c>
      <c r="AL80" s="51">
        <f t="shared" si="78"/>
        <v>4.6361032937109457E-4</v>
      </c>
      <c r="AM80" s="51" t="e">
        <f t="shared" si="57"/>
        <v>#NUM!</v>
      </c>
      <c r="AN80" s="51" t="e">
        <f t="shared" si="79"/>
        <v>#NUM!</v>
      </c>
      <c r="AO80" s="51" t="e">
        <f t="shared" si="80"/>
        <v>#NUM!</v>
      </c>
      <c r="AP80" s="60" t="e">
        <f t="shared" si="81"/>
        <v>#NUM!</v>
      </c>
      <c r="AQ80" s="51" t="e">
        <f t="shared" si="82"/>
        <v>#NUM!</v>
      </c>
      <c r="AR80" s="63" t="e">
        <f t="shared" si="83"/>
        <v>#NUM!</v>
      </c>
      <c r="AS80" s="32" t="str">
        <f t="shared" si="58"/>
        <v>-0.000170731707317073</v>
      </c>
      <c r="AT80" s="32" t="str">
        <f t="shared" si="59"/>
        <v>9.95321682388854E-06i</v>
      </c>
      <c r="AU80" s="32">
        <f t="shared" si="84"/>
        <v>9.9532168238885397E-6</v>
      </c>
      <c r="AV80" s="32">
        <f t="shared" si="85"/>
        <v>1.5707963267948966</v>
      </c>
      <c r="AW80" s="32" t="str">
        <f t="shared" si="60"/>
        <v>1+0.00211912533264286i</v>
      </c>
      <c r="AX80" s="32">
        <f t="shared" si="86"/>
        <v>1.0000022453435669</v>
      </c>
      <c r="AY80" s="32">
        <f t="shared" si="87"/>
        <v>2.1191221605382235E-3</v>
      </c>
      <c r="AZ80" s="32" t="str">
        <f t="shared" si="61"/>
        <v>1+0.0402633813202145i</v>
      </c>
      <c r="BA80" s="32">
        <f t="shared" si="88"/>
        <v>1.0008102416918689</v>
      </c>
      <c r="BB80" s="32">
        <f t="shared" si="89"/>
        <v>4.0241644934608752E-2</v>
      </c>
      <c r="BC80" s="60" t="str">
        <f t="shared" si="90"/>
        <v>-0.654301500622636+17.1548064248992i</v>
      </c>
      <c r="BD80" s="51">
        <f t="shared" si="91"/>
        <v>24.69402968395547</v>
      </c>
      <c r="BE80" s="63">
        <f t="shared" si="92"/>
        <v>92.184259659345585</v>
      </c>
      <c r="BF80" s="60" t="str">
        <f t="shared" si="93"/>
        <v>24.4233930240385+397.349457718619i</v>
      </c>
      <c r="BG80" s="66">
        <f t="shared" si="94"/>
        <v>51.999829402774608</v>
      </c>
      <c r="BH80" s="63">
        <f t="shared" si="95"/>
        <v>86.482695466810171</v>
      </c>
      <c r="BI80" s="60" t="e">
        <f t="shared" si="101"/>
        <v>#NUM!</v>
      </c>
      <c r="BJ80" s="66" t="e">
        <f t="shared" si="97"/>
        <v>#NUM!</v>
      </c>
      <c r="BK80" s="63" t="e">
        <f t="shared" si="102"/>
        <v>#NUM!</v>
      </c>
      <c r="BL80" s="51">
        <f t="shared" si="99"/>
        <v>51.999829402774608</v>
      </c>
      <c r="BM80" s="63">
        <f t="shared" si="100"/>
        <v>86.482695466810171</v>
      </c>
    </row>
    <row r="81" spans="14:65" x14ac:dyDescent="0.3">
      <c r="N81" s="11">
        <v>63</v>
      </c>
      <c r="O81" s="52">
        <f t="shared" si="62"/>
        <v>42.657951880159267</v>
      </c>
      <c r="P81" s="50" t="str">
        <f t="shared" si="50"/>
        <v>23.3035714285714</v>
      </c>
      <c r="Q81" s="18" t="str">
        <f t="shared" si="51"/>
        <v>1+0.101659121825012i</v>
      </c>
      <c r="R81" s="18">
        <f t="shared" si="63"/>
        <v>1.0051540066329301</v>
      </c>
      <c r="S81" s="18">
        <f t="shared" si="64"/>
        <v>0.10131107609024143</v>
      </c>
      <c r="T81" s="18" t="str">
        <f t="shared" si="52"/>
        <v>1+0.00047440923518339i</v>
      </c>
      <c r="U81" s="18">
        <f t="shared" si="65"/>
        <v>1.0000001125320548</v>
      </c>
      <c r="V81" s="18">
        <f t="shared" si="66"/>
        <v>4.7440919959256206E-4</v>
      </c>
      <c r="W81" s="32" t="str">
        <f t="shared" si="53"/>
        <v>1-0.000655179106970156i</v>
      </c>
      <c r="X81" s="18">
        <f t="shared" si="67"/>
        <v>1.0000002146298081</v>
      </c>
      <c r="Y81" s="18">
        <f t="shared" si="68"/>
        <v>-6.5517901322285942E-4</v>
      </c>
      <c r="Z81" s="32" t="str">
        <f t="shared" si="54"/>
        <v>0.999999992721197+0.000321559672135815i</v>
      </c>
      <c r="AA81" s="18">
        <f t="shared" si="69"/>
        <v>1.0000000444215074</v>
      </c>
      <c r="AB81" s="18">
        <f t="shared" si="70"/>
        <v>3.2155966339322822E-4</v>
      </c>
      <c r="AC81" s="68" t="str">
        <f t="shared" si="71"/>
        <v>23.0640280729017-2.35637491330457i</v>
      </c>
      <c r="AD81" s="66">
        <f t="shared" si="72"/>
        <v>27.303799986586629</v>
      </c>
      <c r="AE81" s="63">
        <f t="shared" si="73"/>
        <v>-5.8334784368580284</v>
      </c>
      <c r="AF81" s="51" t="e">
        <f t="shared" si="74"/>
        <v>#NUM!</v>
      </c>
      <c r="AG81" s="51" t="str">
        <f t="shared" si="55"/>
        <v>1-0.142322770555017i</v>
      </c>
      <c r="AH81" s="51">
        <f t="shared" si="75"/>
        <v>1.0100771114219231</v>
      </c>
      <c r="AI81" s="51">
        <f t="shared" si="76"/>
        <v>-0.14137333061505741</v>
      </c>
      <c r="AJ81" s="51" t="str">
        <f t="shared" si="56"/>
        <v>1+0.00047440923518339i</v>
      </c>
      <c r="AK81" s="51">
        <f t="shared" si="77"/>
        <v>1.0000001125320548</v>
      </c>
      <c r="AL81" s="51">
        <f t="shared" si="78"/>
        <v>4.7440919959256206E-4</v>
      </c>
      <c r="AM81" s="51" t="e">
        <f t="shared" si="57"/>
        <v>#NUM!</v>
      </c>
      <c r="AN81" s="51" t="e">
        <f t="shared" si="79"/>
        <v>#NUM!</v>
      </c>
      <c r="AO81" s="51" t="e">
        <f t="shared" si="80"/>
        <v>#NUM!</v>
      </c>
      <c r="AP81" s="60" t="e">
        <f t="shared" si="81"/>
        <v>#NUM!</v>
      </c>
      <c r="AQ81" s="51" t="e">
        <f t="shared" si="82"/>
        <v>#NUM!</v>
      </c>
      <c r="AR81" s="63" t="e">
        <f t="shared" si="83"/>
        <v>#NUM!</v>
      </c>
      <c r="AS81" s="32" t="str">
        <f t="shared" si="58"/>
        <v>-0.000170731707317073</v>
      </c>
      <c r="AT81" s="32" t="str">
        <f t="shared" si="59"/>
        <v>0.000010185057026536i</v>
      </c>
      <c r="AU81" s="32">
        <f t="shared" si="84"/>
        <v>1.0185057026536E-5</v>
      </c>
      <c r="AV81" s="32">
        <f t="shared" si="85"/>
        <v>1.5707963267948966</v>
      </c>
      <c r="AW81" s="32" t="str">
        <f t="shared" si="60"/>
        <v>1+0.00216848610265806i</v>
      </c>
      <c r="AX81" s="32">
        <f t="shared" si="86"/>
        <v>1.0000023511632248</v>
      </c>
      <c r="AY81" s="32">
        <f t="shared" si="87"/>
        <v>2.1684827036871353E-3</v>
      </c>
      <c r="AZ81" s="32" t="str">
        <f t="shared" si="61"/>
        <v>1+0.0412012359505032i</v>
      </c>
      <c r="BA81" s="32">
        <f t="shared" si="88"/>
        <v>1.0008484110212938</v>
      </c>
      <c r="BB81" s="32">
        <f t="shared" si="89"/>
        <v>4.1177946059895353E-2</v>
      </c>
      <c r="BC81" s="60" t="str">
        <f t="shared" si="90"/>
        <v>-0.654301362147048+16.7643792148894i</v>
      </c>
      <c r="BD81" s="51">
        <f t="shared" si="91"/>
        <v>24.494360024680176</v>
      </c>
      <c r="BE81" s="63">
        <f t="shared" si="92"/>
        <v>92.235077611380959</v>
      </c>
      <c r="BF81" s="60" t="str">
        <f t="shared" si="93"/>
        <v>24.4123376343926+388.195892152483i</v>
      </c>
      <c r="BG81" s="66">
        <f t="shared" si="94"/>
        <v>51.798160011266809</v>
      </c>
      <c r="BH81" s="63">
        <f t="shared" si="95"/>
        <v>86.401599174522943</v>
      </c>
      <c r="BI81" s="60" t="e">
        <f t="shared" si="101"/>
        <v>#NUM!</v>
      </c>
      <c r="BJ81" s="66" t="e">
        <f t="shared" si="97"/>
        <v>#NUM!</v>
      </c>
      <c r="BK81" s="63" t="e">
        <f t="shared" si="102"/>
        <v>#NUM!</v>
      </c>
      <c r="BL81" s="51">
        <f t="shared" si="99"/>
        <v>51.798160011266809</v>
      </c>
      <c r="BM81" s="63">
        <f t="shared" si="100"/>
        <v>86.401599174522943</v>
      </c>
    </row>
    <row r="82" spans="14:65" x14ac:dyDescent="0.3">
      <c r="N82" s="11">
        <v>64</v>
      </c>
      <c r="O82" s="52">
        <f t="shared" si="62"/>
        <v>43.651583224016633</v>
      </c>
      <c r="P82" s="50" t="str">
        <f t="shared" si="50"/>
        <v>23.3035714285714</v>
      </c>
      <c r="Q82" s="18" t="str">
        <f t="shared" si="51"/>
        <v>1+0.10402706696495i</v>
      </c>
      <c r="R82" s="18">
        <f t="shared" si="63"/>
        <v>1.0053962555437186</v>
      </c>
      <c r="S82" s="18">
        <f t="shared" si="64"/>
        <v>0.10365423726352205</v>
      </c>
      <c r="T82" s="18" t="str">
        <f t="shared" si="52"/>
        <v>1+0.000485459645836435i</v>
      </c>
      <c r="U82" s="18">
        <f t="shared" si="65"/>
        <v>1.0000001178355269</v>
      </c>
      <c r="V82" s="18">
        <f t="shared" si="66"/>
        <v>4.8545960770017603E-4</v>
      </c>
      <c r="W82" s="32" t="str">
        <f t="shared" si="53"/>
        <v>1-0.000670440188851322i</v>
      </c>
      <c r="X82" s="18">
        <f t="shared" si="67"/>
        <v>1.0000002247449982</v>
      </c>
      <c r="Y82" s="18">
        <f t="shared" si="68"/>
        <v>-6.7044008839928508E-4</v>
      </c>
      <c r="Z82" s="32" t="str">
        <f t="shared" si="54"/>
        <v>0.999999992378157+0.000329049759096676i</v>
      </c>
      <c r="AA82" s="18">
        <f t="shared" si="69"/>
        <v>1.0000000465150278</v>
      </c>
      <c r="AB82" s="18">
        <f t="shared" si="70"/>
        <v>3.2904974972882567E-4</v>
      </c>
      <c r="AC82" s="68" t="str">
        <f t="shared" si="71"/>
        <v>23.0528596033994-2.41010011290663i</v>
      </c>
      <c r="AD82" s="66">
        <f t="shared" si="72"/>
        <v>27.301706996421107</v>
      </c>
      <c r="AE82" s="63">
        <f t="shared" si="73"/>
        <v>-5.968402086593172</v>
      </c>
      <c r="AF82" s="51" t="e">
        <f t="shared" si="74"/>
        <v>#NUM!</v>
      </c>
      <c r="AG82" s="51" t="str">
        <f t="shared" si="55"/>
        <v>1-0.145637893750931i</v>
      </c>
      <c r="AH82" s="51">
        <f t="shared" si="75"/>
        <v>1.0105495515293683</v>
      </c>
      <c r="AI82" s="51">
        <f t="shared" si="76"/>
        <v>-0.14462112324552071</v>
      </c>
      <c r="AJ82" s="51" t="str">
        <f t="shared" si="56"/>
        <v>1+0.000485459645836435i</v>
      </c>
      <c r="AK82" s="51">
        <f t="shared" si="77"/>
        <v>1.0000001178355269</v>
      </c>
      <c r="AL82" s="51">
        <f t="shared" si="78"/>
        <v>4.8545960770017603E-4</v>
      </c>
      <c r="AM82" s="51" t="e">
        <f t="shared" si="57"/>
        <v>#NUM!</v>
      </c>
      <c r="AN82" s="51" t="e">
        <f t="shared" si="79"/>
        <v>#NUM!</v>
      </c>
      <c r="AO82" s="51" t="e">
        <f t="shared" si="80"/>
        <v>#NUM!</v>
      </c>
      <c r="AP82" s="60" t="e">
        <f t="shared" si="81"/>
        <v>#NUM!</v>
      </c>
      <c r="AQ82" s="51" t="e">
        <f t="shared" si="82"/>
        <v>#NUM!</v>
      </c>
      <c r="AR82" s="63" t="e">
        <f t="shared" si="83"/>
        <v>#NUM!</v>
      </c>
      <c r="AS82" s="32" t="str">
        <f t="shared" si="58"/>
        <v>-0.000170731707317073</v>
      </c>
      <c r="AT82" s="32" t="str">
        <f t="shared" si="59"/>
        <v>0.0000104222974812342i</v>
      </c>
      <c r="AU82" s="32">
        <f t="shared" si="84"/>
        <v>1.04222974812342E-5</v>
      </c>
      <c r="AV82" s="32">
        <f t="shared" si="85"/>
        <v>1.5707963267948966</v>
      </c>
      <c r="AW82" s="32" t="str">
        <f t="shared" si="60"/>
        <v>1+0.00221899663270819i</v>
      </c>
      <c r="AX82" s="32">
        <f t="shared" si="86"/>
        <v>1.0000024619699974</v>
      </c>
      <c r="AY82" s="32">
        <f t="shared" si="87"/>
        <v>2.2189929906457108E-3</v>
      </c>
      <c r="AZ82" s="32" t="str">
        <f t="shared" si="61"/>
        <v>1+0.0421609360214558i</v>
      </c>
      <c r="BA82" s="32">
        <f t="shared" si="88"/>
        <v>1.0008883776556732</v>
      </c>
      <c r="BB82" s="32">
        <f t="shared" si="89"/>
        <v>4.2135981650209424E-2</v>
      </c>
      <c r="BC82" s="60" t="str">
        <f t="shared" si="90"/>
        <v>-0.654301217145366+16.3828407006137i</v>
      </c>
      <c r="BD82" s="51">
        <f t="shared" si="91"/>
        <v>24.294705906804651</v>
      </c>
      <c r="BE82" s="63">
        <f t="shared" si="92"/>
        <v>92.287074981064563</v>
      </c>
      <c r="BF82" s="60" t="str">
        <f t="shared" si="93"/>
        <v>24.4007721250949+379.248258013422i</v>
      </c>
      <c r="BG82" s="66">
        <f t="shared" si="94"/>
        <v>51.596412903225755</v>
      </c>
      <c r="BH82" s="63">
        <f t="shared" si="95"/>
        <v>86.318672894471405</v>
      </c>
      <c r="BI82" s="60" t="e">
        <f t="shared" si="101"/>
        <v>#NUM!</v>
      </c>
      <c r="BJ82" s="66" t="e">
        <f t="shared" si="97"/>
        <v>#NUM!</v>
      </c>
      <c r="BK82" s="63" t="e">
        <f t="shared" si="102"/>
        <v>#NUM!</v>
      </c>
      <c r="BL82" s="51">
        <f t="shared" si="99"/>
        <v>51.596412903225755</v>
      </c>
      <c r="BM82" s="63">
        <f t="shared" si="100"/>
        <v>86.318672894471405</v>
      </c>
    </row>
    <row r="83" spans="14:65" x14ac:dyDescent="0.3">
      <c r="N83" s="11">
        <v>65</v>
      </c>
      <c r="O83" s="52">
        <f t="shared" si="62"/>
        <v>44.668359215096324</v>
      </c>
      <c r="P83" s="50" t="str">
        <f t="shared" ref="P83:P146" si="103">COMPLEX(Adc,0)</f>
        <v>23.3035714285714</v>
      </c>
      <c r="Q83" s="18" t="str">
        <f t="shared" ref="Q83:Q146" si="104">IMSUM(COMPLEX(1,0),IMDIV(COMPLEX(0,2*PI()*O83),COMPLEX(wp_lf,0)))</f>
        <v>1+0.106450168632754i</v>
      </c>
      <c r="R83" s="18">
        <f t="shared" si="63"/>
        <v>1.0056498587490288</v>
      </c>
      <c r="S83" s="18">
        <f t="shared" si="64"/>
        <v>0.10605079552787704</v>
      </c>
      <c r="T83" s="18" t="str">
        <f t="shared" ref="T83:T146" si="105">IMSUM(COMPLEX(1,0),IMDIV(COMPLEX(0,2*PI()*O83),COMPLEX(wz_esr,0)))</f>
        <v>1+0.00049676745361952i</v>
      </c>
      <c r="U83" s="18">
        <f t="shared" si="65"/>
        <v>1.000000123388944</v>
      </c>
      <c r="V83" s="18">
        <f t="shared" si="66"/>
        <v>4.9676741275578263E-4</v>
      </c>
      <c r="W83" s="32" t="str">
        <f t="shared" ref="W83:W146" si="106">IMSUB(COMPLEX(1,0),IMDIV(COMPLEX(0,2*PI()*O83),COMPLEX(wz_rhp,0)))</f>
        <v>1-0.000686056746994943i</v>
      </c>
      <c r="X83" s="18">
        <f t="shared" si="67"/>
        <v>1.0000002353369024</v>
      </c>
      <c r="Y83" s="18">
        <f t="shared" si="68"/>
        <v>-6.8605663935864761E-4</v>
      </c>
      <c r="Z83" s="32" t="str">
        <f t="shared" ref="Z83:Z146" si="107">IMSUM(COMPLEX(1,0),IMDIV(COMPLEX(0,2*PI()*O83),COMPLEX(Q*(wsl/2),0)),IMDIV(IMPOWER(COMPLEX(0,2*PI()*O83),2),IMPOWER(COMPLEX(wsl/2,0),2)))</f>
        <v>0.999999992018951+0.000336714312595299i</v>
      </c>
      <c r="AA83" s="18">
        <f t="shared" si="69"/>
        <v>1.0000000487072138</v>
      </c>
      <c r="AB83" s="18">
        <f t="shared" si="70"/>
        <v>3.3671430255746644E-4</v>
      </c>
      <c r="AC83" s="68" t="str">
        <f t="shared" si="71"/>
        <v>23.0411763099496-2.46499486773951i</v>
      </c>
      <c r="AD83" s="66">
        <f t="shared" si="72"/>
        <v>27.29951644734868</v>
      </c>
      <c r="AE83" s="63">
        <f t="shared" si="73"/>
        <v>-6.1064007799820974</v>
      </c>
      <c r="AF83" s="51" t="e">
        <f t="shared" si="74"/>
        <v>#NUM!</v>
      </c>
      <c r="AG83" s="51" t="str">
        <f t="shared" ref="AG83:AG146" si="108">IMSUM(COMPLEX(1,0),IMDIV(COMPLEX(0,2*PI()*O83),COMPLEX(wp_lf_DCM,0)))</f>
        <v>1-0.149030236085856i</v>
      </c>
      <c r="AH83" s="51">
        <f t="shared" si="75"/>
        <v>1.0110440204401616</v>
      </c>
      <c r="AI83" s="51">
        <f t="shared" si="76"/>
        <v>-0.147941388582565</v>
      </c>
      <c r="AJ83" s="51" t="str">
        <f t="shared" ref="AJ83:AJ146" si="109">IMSUM(COMPLEX(1,0),IMDIV(COMPLEX(0,2*PI()*O83),COMPLEX(wz1_dcm,0)))</f>
        <v>1+0.00049676745361952i</v>
      </c>
      <c r="AK83" s="51">
        <f t="shared" si="77"/>
        <v>1.000000123388944</v>
      </c>
      <c r="AL83" s="51">
        <f t="shared" si="78"/>
        <v>4.9676741275578263E-4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-0.000170731707317073</v>
      </c>
      <c r="AT83" s="32" t="str">
        <f t="shared" ref="AT83:AT146" si="112">COMPLEX(0,2*PI()*O83*wp0_ea)</f>
        <v>0.0000106650639760123i</v>
      </c>
      <c r="AU83" s="32">
        <f t="shared" si="84"/>
        <v>1.06650639760123E-5</v>
      </c>
      <c r="AV83" s="32">
        <f t="shared" si="85"/>
        <v>1.5707963267948966</v>
      </c>
      <c r="AW83" s="32" t="str">
        <f t="shared" ref="AW83:AW146" si="113">IMSUM(COMPLEX(1,0),IMDIV(COMPLEX(0,2*PI()*O83),COMPLEX(wp1_ea,0)))</f>
        <v>1+0.00227068370414489i</v>
      </c>
      <c r="AX83" s="32">
        <f t="shared" si="86"/>
        <v>1.000002577998919</v>
      </c>
      <c r="AY83" s="32">
        <f t="shared" si="87"/>
        <v>2.2706798016051757E-3</v>
      </c>
      <c r="AZ83" s="32" t="str">
        <f t="shared" ref="AZ83:AZ146" si="114">IMSUM(COMPLEX(1,0),IMDIV(COMPLEX(0,2*PI()*O83),COMPLEX(wz_ea,0)))</f>
        <v>1+0.0431429903787529i</v>
      </c>
      <c r="BA83" s="32">
        <f t="shared" si="88"/>
        <v>1.0009302261490665</v>
      </c>
      <c r="BB83" s="32">
        <f t="shared" si="89"/>
        <v>4.3116252630165615E-2</v>
      </c>
      <c r="BC83" s="60" t="str">
        <f t="shared" si="90"/>
        <v>-0.654301065310037+16.0099885852998i</v>
      </c>
      <c r="BD83" s="51">
        <f t="shared" si="91"/>
        <v>24.095068060164849</v>
      </c>
      <c r="BE83" s="63">
        <f t="shared" si="92"/>
        <v>92.340278934870739</v>
      </c>
      <c r="BF83" s="60" t="str">
        <f t="shared" si="93"/>
        <v>24.3886734897357+370.501818482119i</v>
      </c>
      <c r="BG83" s="66">
        <f t="shared" si="94"/>
        <v>51.394584507513528</v>
      </c>
      <c r="BH83" s="63">
        <f t="shared" si="95"/>
        <v>86.233878154888657</v>
      </c>
      <c r="BI83" s="60" t="e">
        <f t="shared" si="101"/>
        <v>#NUM!</v>
      </c>
      <c r="BJ83" s="66" t="e">
        <f t="shared" si="97"/>
        <v>#NUM!</v>
      </c>
      <c r="BK83" s="63" t="e">
        <f t="shared" si="102"/>
        <v>#NUM!</v>
      </c>
      <c r="BL83" s="51">
        <f t="shared" si="99"/>
        <v>51.394584507513528</v>
      </c>
      <c r="BM83" s="63">
        <f t="shared" si="100"/>
        <v>86.233878154888657</v>
      </c>
    </row>
    <row r="84" spans="14:65" x14ac:dyDescent="0.3">
      <c r="N84" s="11">
        <v>66</v>
      </c>
      <c r="O84" s="52">
        <f t="shared" ref="O84:O118" si="115">10^(1+(N84/100))</f>
        <v>45.70881896148753</v>
      </c>
      <c r="P84" s="50" t="str">
        <f t="shared" si="103"/>
        <v>23.3035714285714</v>
      </c>
      <c r="Q84" s="18" t="str">
        <f t="shared" si="104"/>
        <v>1+0.108929711589002i</v>
      </c>
      <c r="R84" s="18">
        <f t="shared" ref="R84:R147" si="116">IMABS(Q84)</f>
        <v>1.0059153453779612</v>
      </c>
      <c r="S84" s="18">
        <f t="shared" ref="S84:S147" si="117">IMARGUMENT(Q84)</f>
        <v>0.10850191139322682</v>
      </c>
      <c r="T84" s="18" t="str">
        <f t="shared" si="105"/>
        <v>1+0.00050833865408201i</v>
      </c>
      <c r="U84" s="18">
        <f t="shared" ref="U84:U147" si="118">IMABS(T84)</f>
        <v>1.0000001292040852</v>
      </c>
      <c r="V84" s="18">
        <f t="shared" ref="V84:V147" si="119">IMARGUMENT(T84)</f>
        <v>5.0833861029572682E-4</v>
      </c>
      <c r="W84" s="32" t="str">
        <f t="shared" si="106"/>
        <v>1-0.000702037061506856i</v>
      </c>
      <c r="X84" s="18">
        <f t="shared" ref="X84:X147" si="120">IMABS(W84)</f>
        <v>1.0000002464279876</v>
      </c>
      <c r="Y84" s="18">
        <f t="shared" ref="Y84:Y147" si="121">IMARGUMENT(W84)</f>
        <v>-7.0203694617248906E-4</v>
      </c>
      <c r="Z84" s="32" t="str">
        <f t="shared" si="107"/>
        <v>0.999999991642816+0.0003445573964794i</v>
      </c>
      <c r="AA84" s="18">
        <f t="shared" ref="AA84:AA147" si="122">IMABS(Z84)</f>
        <v>1.0000000510027145</v>
      </c>
      <c r="AB84" s="18">
        <f t="shared" ref="AB84:AB147" si="123">IMARGUMENT(Z84)</f>
        <v>3.445573857236685E-4</v>
      </c>
      <c r="AC84" s="68" t="str">
        <f t="shared" ref="AC84:AC147" si="124">(IMDIV(IMPRODUCT(P84,T84,W84),IMPRODUCT(Q84,Z84)))</f>
        <v>23.0289550228924-2.52108071296117i</v>
      </c>
      <c r="AD84" s="66">
        <f t="shared" ref="AD84:AD147" si="125">20*LOG(IMABS(AC84))</f>
        <v>27.297223844626227</v>
      </c>
      <c r="AE84" s="63">
        <f t="shared" ref="AE84:AE147" si="126">(180/PI())*IMARGUMENT(AC84)</f>
        <v>-6.2475413730808009</v>
      </c>
      <c r="AF84" s="51" t="e">
        <f t="shared" ref="AF84:AF147" si="127">COMPLEX($B$68,0)</f>
        <v>#NUM!</v>
      </c>
      <c r="AG84" s="51" t="str">
        <f t="shared" si="108"/>
        <v>1-0.152501596224603i</v>
      </c>
      <c r="AH84" s="51">
        <f t="shared" ref="AH84:AH147" si="128">IMABS(AG84)</f>
        <v>1.0115615338925517</v>
      </c>
      <c r="AI84" s="51">
        <f t="shared" ref="AI84:AI147" si="129">IMARGUMENT(AG84)</f>
        <v>-0.15133559409760783</v>
      </c>
      <c r="AJ84" s="51" t="str">
        <f t="shared" si="109"/>
        <v>1+0.00050833865408201i</v>
      </c>
      <c r="AK84" s="51">
        <f t="shared" ref="AK84:AK147" si="130">IMABS(AJ84)</f>
        <v>1.0000001292040852</v>
      </c>
      <c r="AL84" s="51">
        <f t="shared" ref="AL84:AL147" si="131">IMARGUMENT(AJ84)</f>
        <v>5.0833861029572682E-4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-0.000170731707317073</v>
      </c>
      <c r="AT84" s="32" t="str">
        <f t="shared" si="112"/>
        <v>0.0000109134852288793i</v>
      </c>
      <c r="AU84" s="32">
        <f t="shared" ref="AU84:AU147" si="137">IMABS(AT84)</f>
        <v>1.0913485228879301E-5</v>
      </c>
      <c r="AV84" s="32">
        <f t="shared" ref="AV84:AV147" si="138">IMARGUMENT(AT84)</f>
        <v>1.5707963267948966</v>
      </c>
      <c r="AW84" s="32" t="str">
        <f t="shared" si="113"/>
        <v>1+0.00232357472213757i</v>
      </c>
      <c r="AX84" s="32">
        <f t="shared" ref="AX84:AX147" si="139">IMABS(AW84)</f>
        <v>1.0000026994961011</v>
      </c>
      <c r="AY84" s="32">
        <f t="shared" ref="AY84:AY147" si="140">IMARGUMENT(AW84)</f>
        <v>2.3235705404915366E-3</v>
      </c>
      <c r="AZ84" s="32" t="str">
        <f t="shared" si="114"/>
        <v>1+0.0441479197206139i</v>
      </c>
      <c r="BA84" s="32">
        <f t="shared" ref="BA84:BA147" si="141">IMABS(AZ84)</f>
        <v>1.0009740450259725</v>
      </c>
      <c r="BB84" s="32">
        <f t="shared" ref="BB84:BB147" si="142">IMARGUMENT(AZ84)</f>
        <v>4.411927121233624E-2</v>
      </c>
      <c r="BC84" s="60" t="str">
        <f t="shared" ref="BC84:BC147" si="143">IMPRODUCT(AS84,IMDIV(AZ84,IMPRODUCT(AT84,AW84)))</f>
        <v>-0.654300906319005+15.6456251778185i</v>
      </c>
      <c r="BD84" s="51">
        <f t="shared" ref="BD84:BD147" si="144">20*LOG(IMABS(BC84))</f>
        <v>23.895447248741707</v>
      </c>
      <c r="BE84" s="63">
        <f t="shared" ref="BE84:BE147" si="145">(180/PI())*IMARGUMENT(BC84)</f>
        <v>92.394717250288792</v>
      </c>
      <c r="BF84" s="60" t="str">
        <f t="shared" ref="BF84:BF147" si="146">IMPRODUCT(AC84,BC84)</f>
        <v>24.3760177349598+361.951943920409i</v>
      </c>
      <c r="BG84" s="66">
        <f t="shared" ref="BG84:BG147" si="147">20*LOG(IMABS(BF84))</f>
        <v>51.192671093367935</v>
      </c>
      <c r="BH84" s="63">
        <f t="shared" ref="BH84:BH147" si="148">(180/PI())*IMARGUMENT(BF84)</f>
        <v>86.147175877207999</v>
      </c>
      <c r="BI84" s="60" t="e">
        <f t="shared" si="101"/>
        <v>#NUM!</v>
      </c>
      <c r="BJ84" s="66" t="e">
        <f t="shared" ref="BJ84:BJ147" si="149">20*LOG(IMABS(BI84))</f>
        <v>#NUM!</v>
      </c>
      <c r="BK84" s="63" t="e">
        <f t="shared" si="102"/>
        <v>#NUM!</v>
      </c>
      <c r="BL84" s="51">
        <f t="shared" ref="BL84:BL147" si="150">IF($B$31=0,BJ84,BG84)</f>
        <v>51.192671093367935</v>
      </c>
      <c r="BM84" s="63">
        <f t="shared" ref="BM84:BM147" si="151">IF($B$31=0,BK84,BH84)</f>
        <v>86.147175877207999</v>
      </c>
    </row>
    <row r="85" spans="14:65" x14ac:dyDescent="0.3">
      <c r="N85" s="11">
        <v>67</v>
      </c>
      <c r="O85" s="52">
        <f t="shared" si="115"/>
        <v>46.773514128719818</v>
      </c>
      <c r="P85" s="50" t="str">
        <f t="shared" si="103"/>
        <v>23.3035714285714</v>
      </c>
      <c r="Q85" s="18" t="str">
        <f t="shared" si="104"/>
        <v>1+0.111467010520189i</v>
      </c>
      <c r="R85" s="18">
        <f t="shared" si="116"/>
        <v>1.006193268927152</v>
      </c>
      <c r="S85" s="18">
        <f t="shared" si="117"/>
        <v>0.11100876659968185</v>
      </c>
      <c r="T85" s="18" t="str">
        <f t="shared" si="105"/>
        <v>1+0.000520179382427551i</v>
      </c>
      <c r="U85" s="18">
        <f t="shared" si="118"/>
        <v>1.0000001352932857</v>
      </c>
      <c r="V85" s="18">
        <f t="shared" si="119"/>
        <v>5.2017933550970352E-4</v>
      </c>
      <c r="W85" s="32" t="str">
        <f t="shared" si="106"/>
        <v>1-0.000718389605361338i</v>
      </c>
      <c r="X85" s="18">
        <f t="shared" si="120"/>
        <v>1.0000002580417793</v>
      </c>
      <c r="Y85" s="18">
        <f t="shared" si="121"/>
        <v>-7.1838948177833906E-4</v>
      </c>
      <c r="Z85" s="32" t="str">
        <f t="shared" si="107"/>
        <v>0.999999991248954+0.000352583169255872i</v>
      </c>
      <c r="AA85" s="18">
        <f t="shared" si="122"/>
        <v>1.0000000534063982</v>
      </c>
      <c r="AB85" s="18">
        <f t="shared" si="123"/>
        <v>3.5258315773089818E-4</v>
      </c>
      <c r="AC85" s="68" t="str">
        <f t="shared" si="124"/>
        <v>23.016171583301-2.57837929482657i</v>
      </c>
      <c r="AD85" s="66">
        <f t="shared" si="125"/>
        <v>27.294824491448555</v>
      </c>
      <c r="AE85" s="63">
        <f t="shared" si="126"/>
        <v>-6.3918919468178315</v>
      </c>
      <c r="AF85" s="51" t="e">
        <f t="shared" si="127"/>
        <v>#NUM!</v>
      </c>
      <c r="AG85" s="51" t="str">
        <f t="shared" si="108"/>
        <v>1-0.156053814728265i</v>
      </c>
      <c r="AH85" s="51">
        <f t="shared" si="128"/>
        <v>1.0121031533846951</v>
      </c>
      <c r="AI85" s="51">
        <f t="shared" si="129"/>
        <v>-0.15480522645453887</v>
      </c>
      <c r="AJ85" s="51" t="str">
        <f t="shared" si="109"/>
        <v>1+0.000520179382427551i</v>
      </c>
      <c r="AK85" s="51">
        <f t="shared" si="130"/>
        <v>1.0000001352932857</v>
      </c>
      <c r="AL85" s="51">
        <f t="shared" si="131"/>
        <v>5.2017933550970352E-4</v>
      </c>
      <c r="AM85" s="51" t="e">
        <f t="shared" si="110"/>
        <v>#NUM!</v>
      </c>
      <c r="AN85" s="51" t="e">
        <f t="shared" si="132"/>
        <v>#NUM!</v>
      </c>
      <c r="AO85" s="51" t="e">
        <f t="shared" si="133"/>
        <v>#NUM!</v>
      </c>
      <c r="AP85" s="60" t="e">
        <f t="shared" si="134"/>
        <v>#NUM!</v>
      </c>
      <c r="AQ85" s="51" t="e">
        <f t="shared" si="135"/>
        <v>#NUM!</v>
      </c>
      <c r="AR85" s="63" t="e">
        <f t="shared" si="136"/>
        <v>#NUM!</v>
      </c>
      <c r="AS85" s="32" t="str">
        <f t="shared" si="111"/>
        <v>-0.000170731707317073</v>
      </c>
      <c r="AT85" s="32" t="str">
        <f t="shared" si="112"/>
        <v>0.0000111676929560717i</v>
      </c>
      <c r="AU85" s="32">
        <f t="shared" si="137"/>
        <v>1.11676929560717E-5</v>
      </c>
      <c r="AV85" s="32">
        <f t="shared" si="138"/>
        <v>1.5707963267948966</v>
      </c>
      <c r="AW85" s="32" t="str">
        <f t="shared" si="113"/>
        <v>1+0.00237769773020407i</v>
      </c>
      <c r="AX85" s="32">
        <f t="shared" si="139"/>
        <v>1.0000028267192529</v>
      </c>
      <c r="AY85" s="32">
        <f t="shared" si="140"/>
        <v>2.3776932494903018E-3</v>
      </c>
      <c r="AZ85" s="32" t="str">
        <f t="shared" si="114"/>
        <v>1+0.0451762568738774i</v>
      </c>
      <c r="BA85" s="32">
        <f t="shared" si="141"/>
        <v>1.0010199269670583</v>
      </c>
      <c r="BB85" s="32">
        <f t="shared" si="142"/>
        <v>4.5145561133187836E-2</v>
      </c>
      <c r="BC85" s="60" t="str">
        <f t="shared" si="143"/>
        <v>-0.654300739835039+15.289557287866i</v>
      </c>
      <c r="BD85" s="51">
        <f t="shared" si="144"/>
        <v>23.695844272246632</v>
      </c>
      <c r="BE85" s="63">
        <f t="shared" si="145"/>
        <v>92.450418328508974</v>
      </c>
      <c r="BF85" s="60" t="str">
        <f t="shared" si="146"/>
        <v>24.3627798429743+353.594109450415i</v>
      </c>
      <c r="BG85" s="66">
        <f t="shared" si="147"/>
        <v>50.990668763695204</v>
      </c>
      <c r="BH85" s="63">
        <f t="shared" si="148"/>
        <v>86.058526381691152</v>
      </c>
      <c r="BI85" s="60" t="e">
        <f t="shared" si="101"/>
        <v>#NUM!</v>
      </c>
      <c r="BJ85" s="66" t="e">
        <f t="shared" si="149"/>
        <v>#NUM!</v>
      </c>
      <c r="BK85" s="63" t="e">
        <f t="shared" si="102"/>
        <v>#NUM!</v>
      </c>
      <c r="BL85" s="51">
        <f t="shared" si="150"/>
        <v>50.990668763695204</v>
      </c>
      <c r="BM85" s="63">
        <f t="shared" si="151"/>
        <v>86.058526381691152</v>
      </c>
    </row>
    <row r="86" spans="14:65" x14ac:dyDescent="0.3">
      <c r="N86" s="11">
        <v>68</v>
      </c>
      <c r="O86" s="52">
        <f t="shared" si="115"/>
        <v>47.863009232263877</v>
      </c>
      <c r="P86" s="50" t="str">
        <f t="shared" si="103"/>
        <v>23.3035714285714</v>
      </c>
      <c r="Q86" s="18" t="str">
        <f t="shared" si="104"/>
        <v>1+0.114063410735795i</v>
      </c>
      <c r="R86" s="18">
        <f t="shared" si="116"/>
        <v>1.0064842083553436</v>
      </c>
      <c r="S86" s="18">
        <f t="shared" si="117"/>
        <v>0.11357256421551164</v>
      </c>
      <c r="T86" s="18" t="str">
        <f t="shared" si="105"/>
        <v>1+0.000532295916767043i</v>
      </c>
      <c r="U86" s="18">
        <f t="shared" si="118"/>
        <v>1.0000001416694615</v>
      </c>
      <c r="V86" s="18">
        <f t="shared" si="119"/>
        <v>5.3229586649366416E-4</v>
      </c>
      <c r="W86" s="32" t="str">
        <f t="shared" si="106"/>
        <v>1-0.000735123048893594i</v>
      </c>
      <c r="X86" s="18">
        <f t="shared" si="120"/>
        <v>1.000000270202912</v>
      </c>
      <c r="Y86" s="18">
        <f t="shared" si="121"/>
        <v>-7.3512291647202669E-4</v>
      </c>
      <c r="Z86" s="32" t="str">
        <f t="shared" si="107"/>
        <v>0.999999990836529+0.000360795886295673i</v>
      </c>
      <c r="AA86" s="18">
        <f t="shared" si="122"/>
        <v>1.0000000559233633</v>
      </c>
      <c r="AB86" s="18">
        <f t="shared" si="123"/>
        <v>3.6079587394644138E-4</v>
      </c>
      <c r="AC86" s="68" t="str">
        <f t="shared" si="124"/>
        <v>23.0028008058614-2.63691234743889i</v>
      </c>
      <c r="AD86" s="66">
        <f t="shared" si="125"/>
        <v>27.292313480342326</v>
      </c>
      <c r="AE86" s="63">
        <f t="shared" si="126"/>
        <v>-6.5395218128050541</v>
      </c>
      <c r="AF86" s="51" t="e">
        <f t="shared" si="127"/>
        <v>#NUM!</v>
      </c>
      <c r="AG86" s="51" t="str">
        <f t="shared" si="108"/>
        <v>1-0.159688775030113i</v>
      </c>
      <c r="AH86" s="51">
        <f t="shared" si="128"/>
        <v>1.0126699881356305</v>
      </c>
      <c r="AI86" s="51">
        <f t="shared" si="129"/>
        <v>-0.15835179097736884</v>
      </c>
      <c r="AJ86" s="51" t="str">
        <f t="shared" si="109"/>
        <v>1+0.000532295916767043i</v>
      </c>
      <c r="AK86" s="51">
        <f t="shared" si="130"/>
        <v>1.0000001416694615</v>
      </c>
      <c r="AL86" s="51">
        <f t="shared" si="131"/>
        <v>5.3229586649366416E-4</v>
      </c>
      <c r="AM86" s="51" t="e">
        <f t="shared" si="110"/>
        <v>#NUM!</v>
      </c>
      <c r="AN86" s="51" t="e">
        <f t="shared" si="132"/>
        <v>#NUM!</v>
      </c>
      <c r="AO86" s="51" t="e">
        <f t="shared" si="133"/>
        <v>#NUM!</v>
      </c>
      <c r="AP86" s="60" t="e">
        <f t="shared" si="134"/>
        <v>#NUM!</v>
      </c>
      <c r="AQ86" s="51" t="e">
        <f t="shared" si="135"/>
        <v>#NUM!</v>
      </c>
      <c r="AR86" s="63" t="e">
        <f t="shared" si="136"/>
        <v>#NUM!</v>
      </c>
      <c r="AS86" s="32" t="str">
        <f t="shared" si="111"/>
        <v>-0.000170731707317073</v>
      </c>
      <c r="AT86" s="32" t="str">
        <f t="shared" si="112"/>
        <v>0.0000114278219418913i</v>
      </c>
      <c r="AU86" s="32">
        <f t="shared" si="137"/>
        <v>1.14278219418913E-5</v>
      </c>
      <c r="AV86" s="32">
        <f t="shared" si="138"/>
        <v>1.5707963267948966</v>
      </c>
      <c r="AW86" s="32" t="str">
        <f t="shared" si="113"/>
        <v>1+0.00243308142507968i</v>
      </c>
      <c r="AX86" s="32">
        <f t="shared" si="139"/>
        <v>1.0000029599382299</v>
      </c>
      <c r="AY86" s="32">
        <f t="shared" si="140"/>
        <v>2.4330766239091433E-3</v>
      </c>
      <c r="AZ86" s="32" t="str">
        <f t="shared" si="114"/>
        <v>1+0.0462285470765141i</v>
      </c>
      <c r="BA86" s="32">
        <f t="shared" si="141"/>
        <v>1.0010679690035065</v>
      </c>
      <c r="BB86" s="32">
        <f t="shared" si="142"/>
        <v>4.6195657892607531E-2</v>
      </c>
      <c r="BC86" s="60" t="str">
        <f t="shared" si="143"/>
        <v>-0.654300565505018+14.9415961235314i</v>
      </c>
      <c r="BD86" s="51">
        <f t="shared" si="144"/>
        <v>23.496259967778808</v>
      </c>
      <c r="BE86" s="63">
        <f t="shared" si="145"/>
        <v>92.507411207294695</v>
      </c>
      <c r="BF86" s="60" t="str">
        <f t="shared" si="146"/>
        <v>24.3489337331106+345.42389259134i</v>
      </c>
      <c r="BG86" s="66">
        <f t="shared" si="147"/>
        <v>50.788573448121134</v>
      </c>
      <c r="BH86" s="63">
        <f t="shared" si="148"/>
        <v>85.967889394489646</v>
      </c>
      <c r="BI86" s="60" t="e">
        <f t="shared" si="101"/>
        <v>#NUM!</v>
      </c>
      <c r="BJ86" s="66" t="e">
        <f t="shared" si="149"/>
        <v>#NUM!</v>
      </c>
      <c r="BK86" s="63" t="e">
        <f t="shared" si="102"/>
        <v>#NUM!</v>
      </c>
      <c r="BL86" s="51">
        <f t="shared" si="150"/>
        <v>50.788573448121134</v>
      </c>
      <c r="BM86" s="63">
        <f t="shared" si="151"/>
        <v>85.967889394489646</v>
      </c>
    </row>
    <row r="87" spans="14:65" x14ac:dyDescent="0.3">
      <c r="N87" s="11">
        <v>69</v>
      </c>
      <c r="O87" s="52">
        <f t="shared" si="115"/>
        <v>48.977881936844632</v>
      </c>
      <c r="P87" s="50" t="str">
        <f t="shared" si="103"/>
        <v>23.3035714285714</v>
      </c>
      <c r="Q87" s="18" t="str">
        <f t="shared" si="104"/>
        <v>1+0.11672028888158i</v>
      </c>
      <c r="R87" s="18">
        <f t="shared" si="116"/>
        <v>1.0067887692245079</v>
      </c>
      <c r="S87" s="18">
        <f t="shared" si="117"/>
        <v>0.11619452871120105</v>
      </c>
      <c r="T87" s="18" t="str">
        <f t="shared" si="105"/>
        <v>1+0.000544694681447376i</v>
      </c>
      <c r="U87" s="18">
        <f t="shared" si="118"/>
        <v>1.0000001483461369</v>
      </c>
      <c r="V87" s="18">
        <f t="shared" si="119"/>
        <v>5.4469462757848037E-4</v>
      </c>
      <c r="W87" s="32" t="str">
        <f t="shared" si="106"/>
        <v>1-0.000752246264396878i</v>
      </c>
      <c r="X87" s="18">
        <f t="shared" si="120"/>
        <v>1.000000282937181</v>
      </c>
      <c r="Y87" s="18">
        <f t="shared" si="121"/>
        <v>-7.5224612250461445E-4</v>
      </c>
      <c r="Z87" s="32" t="str">
        <f t="shared" si="107"/>
        <v>0.999999990404668+0.000369199902090086i</v>
      </c>
      <c r="AA87" s="18">
        <f t="shared" si="122"/>
        <v>1.0000000585589504</v>
      </c>
      <c r="AB87" s="18">
        <f t="shared" si="123"/>
        <v>3.6919988885764592E-4</v>
      </c>
      <c r="AC87" s="68" t="str">
        <f t="shared" si="124"/>
        <v>22.988816440863-2.69670166735609i</v>
      </c>
      <c r="AD87" s="66">
        <f t="shared" si="125"/>
        <v>27.28968568423976</v>
      </c>
      <c r="AE87" s="63">
        <f t="shared" si="126"/>
        <v>-6.6905015177826259</v>
      </c>
      <c r="AF87" s="51" t="e">
        <f t="shared" si="127"/>
        <v>#NUM!</v>
      </c>
      <c r="AG87" s="51" t="str">
        <f t="shared" si="108"/>
        <v>1-0.163408404434213i</v>
      </c>
      <c r="AH87" s="51">
        <f t="shared" si="128"/>
        <v>1.0132631971209334</v>
      </c>
      <c r="AI87" s="51">
        <f t="shared" si="129"/>
        <v>-0.16197681104607997</v>
      </c>
      <c r="AJ87" s="51" t="str">
        <f t="shared" si="109"/>
        <v>1+0.000544694681447376i</v>
      </c>
      <c r="AK87" s="51">
        <f t="shared" si="130"/>
        <v>1.0000001483461369</v>
      </c>
      <c r="AL87" s="51">
        <f t="shared" si="131"/>
        <v>5.4469462757848037E-4</v>
      </c>
      <c r="AM87" s="51" t="e">
        <f t="shared" si="110"/>
        <v>#NUM!</v>
      </c>
      <c r="AN87" s="51" t="e">
        <f t="shared" si="132"/>
        <v>#NUM!</v>
      </c>
      <c r="AO87" s="51" t="e">
        <f t="shared" si="133"/>
        <v>#NUM!</v>
      </c>
      <c r="AP87" s="60" t="e">
        <f t="shared" si="134"/>
        <v>#NUM!</v>
      </c>
      <c r="AQ87" s="51" t="e">
        <f t="shared" si="135"/>
        <v>#NUM!</v>
      </c>
      <c r="AR87" s="63" t="e">
        <f t="shared" si="136"/>
        <v>#NUM!</v>
      </c>
      <c r="AS87" s="32" t="str">
        <f t="shared" si="111"/>
        <v>-0.000170731707317073</v>
      </c>
      <c r="AT87" s="32" t="str">
        <f t="shared" si="112"/>
        <v>0.0000116940101101696i</v>
      </c>
      <c r="AU87" s="32">
        <f t="shared" si="137"/>
        <v>1.16940101101696E-5</v>
      </c>
      <c r="AV87" s="32">
        <f t="shared" si="138"/>
        <v>1.5707963267948966</v>
      </c>
      <c r="AW87" s="32" t="str">
        <f t="shared" si="113"/>
        <v>1+0.00248975517193251i</v>
      </c>
      <c r="AX87" s="32">
        <f t="shared" si="139"/>
        <v>1.0000030994356048</v>
      </c>
      <c r="AY87" s="32">
        <f t="shared" si="140"/>
        <v>2.4897500273864536E-3</v>
      </c>
      <c r="AZ87" s="32" t="str">
        <f t="shared" si="114"/>
        <v>1+0.0473053482667178i</v>
      </c>
      <c r="BA87" s="32">
        <f t="shared" si="141"/>
        <v>1.0011182727203791</v>
      </c>
      <c r="BB87" s="32">
        <f t="shared" si="142"/>
        <v>4.7270108996965175E-2</v>
      </c>
      <c r="BC87" s="60" t="str">
        <f t="shared" si="143"/>
        <v>-0.654300382959173+14.601557191197i</v>
      </c>
      <c r="BD87" s="51">
        <f t="shared" si="144"/>
        <v>23.296695211558401</v>
      </c>
      <c r="BE87" s="63">
        <f t="shared" si="145"/>
        <v>92.565725574037657</v>
      </c>
      <c r="BF87" s="60" t="str">
        <f t="shared" si="146"/>
        <v>24.3344522224615+337.436970952869i</v>
      </c>
      <c r="BG87" s="66">
        <f t="shared" si="147"/>
        <v>50.586380895798165</v>
      </c>
      <c r="BH87" s="63">
        <f t="shared" si="148"/>
        <v>85.875224056255021</v>
      </c>
      <c r="BI87" s="60" t="e">
        <f t="shared" si="101"/>
        <v>#NUM!</v>
      </c>
      <c r="BJ87" s="66" t="e">
        <f t="shared" si="149"/>
        <v>#NUM!</v>
      </c>
      <c r="BK87" s="63" t="e">
        <f t="shared" si="102"/>
        <v>#NUM!</v>
      </c>
      <c r="BL87" s="51">
        <f t="shared" si="150"/>
        <v>50.586380895798165</v>
      </c>
      <c r="BM87" s="63">
        <f t="shared" si="151"/>
        <v>85.875224056255021</v>
      </c>
    </row>
    <row r="88" spans="14:65" x14ac:dyDescent="0.3">
      <c r="N88" s="11">
        <v>70</v>
      </c>
      <c r="O88" s="52">
        <f t="shared" si="115"/>
        <v>50.118723362727238</v>
      </c>
      <c r="P88" s="50" t="str">
        <f t="shared" si="103"/>
        <v>23.3035714285714</v>
      </c>
      <c r="Q88" s="18" t="str">
        <f t="shared" si="104"/>
        <v>1+0.119439053669506i</v>
      </c>
      <c r="R88" s="18">
        <f t="shared" si="116"/>
        <v>1.0071075848892546</v>
      </c>
      <c r="S88" s="18">
        <f t="shared" si="117"/>
        <v>0.11887590600744083</v>
      </c>
      <c r="T88" s="18" t="str">
        <f t="shared" si="105"/>
        <v>1+0.000557382250457697i</v>
      </c>
      <c r="U88" s="18">
        <f t="shared" si="118"/>
        <v>1.0000001553374744</v>
      </c>
      <c r="V88" s="18">
        <f t="shared" si="119"/>
        <v>5.573821927361359E-4</v>
      </c>
      <c r="W88" s="32" t="str">
        <f t="shared" si="106"/>
        <v>1-0.000769768330826699i</v>
      </c>
      <c r="X88" s="18">
        <f t="shared" si="120"/>
        <v>1.0000002962715977</v>
      </c>
      <c r="Y88" s="18">
        <f t="shared" si="121"/>
        <v>-7.697681787864018E-4</v>
      </c>
      <c r="Z88" s="32" t="str">
        <f t="shared" si="107"/>
        <v>0.999999989952454+0.000377799672559525i</v>
      </c>
      <c r="AA88" s="18">
        <f t="shared" si="122"/>
        <v>1.0000000613187485</v>
      </c>
      <c r="AB88" s="18">
        <f t="shared" si="123"/>
        <v>3.7779965838071004E-4</v>
      </c>
      <c r="AC88" s="68" t="str">
        <f t="shared" si="124"/>
        <v>22.9741911353285-2.75776908591651i</v>
      </c>
      <c r="AD88" s="66">
        <f t="shared" si="125"/>
        <v>27.286935747223083</v>
      </c>
      <c r="AE88" s="63">
        <f t="shared" si="126"/>
        <v>-6.8449028465753425</v>
      </c>
      <c r="AF88" s="51" t="e">
        <f t="shared" si="127"/>
        <v>#NUM!</v>
      </c>
      <c r="AG88" s="51" t="str">
        <f t="shared" si="108"/>
        <v>1-0.167214675137309i</v>
      </c>
      <c r="AH88" s="51">
        <f t="shared" si="128"/>
        <v>1.013883991185025</v>
      </c>
      <c r="AI88" s="51">
        <f t="shared" si="129"/>
        <v>-0.16568182741596665</v>
      </c>
      <c r="AJ88" s="51" t="str">
        <f t="shared" si="109"/>
        <v>1+0.000557382250457697i</v>
      </c>
      <c r="AK88" s="51">
        <f t="shared" si="130"/>
        <v>1.0000001553374744</v>
      </c>
      <c r="AL88" s="51">
        <f t="shared" si="131"/>
        <v>5.573821927361359E-4</v>
      </c>
      <c r="AM88" s="51" t="e">
        <f t="shared" si="110"/>
        <v>#NUM!</v>
      </c>
      <c r="AN88" s="51" t="e">
        <f t="shared" si="132"/>
        <v>#NUM!</v>
      </c>
      <c r="AO88" s="51" t="e">
        <f t="shared" si="133"/>
        <v>#NUM!</v>
      </c>
      <c r="AP88" s="60" t="e">
        <f t="shared" si="134"/>
        <v>#NUM!</v>
      </c>
      <c r="AQ88" s="51" t="e">
        <f t="shared" si="135"/>
        <v>#NUM!</v>
      </c>
      <c r="AR88" s="63" t="e">
        <f t="shared" si="136"/>
        <v>#NUM!</v>
      </c>
      <c r="AS88" s="32" t="str">
        <f t="shared" si="111"/>
        <v>-0.000170731707317073</v>
      </c>
      <c r="AT88" s="32" t="str">
        <f t="shared" si="112"/>
        <v>0.0000119663985973969i</v>
      </c>
      <c r="AU88" s="32">
        <f t="shared" si="137"/>
        <v>1.19663985973969E-5</v>
      </c>
      <c r="AV88" s="32">
        <f t="shared" si="138"/>
        <v>1.5707963267948966</v>
      </c>
      <c r="AW88" s="32" t="str">
        <f t="shared" si="113"/>
        <v>1+0.0025477490199333i</v>
      </c>
      <c r="AX88" s="32">
        <f t="shared" si="139"/>
        <v>1.0000032455072676</v>
      </c>
      <c r="AY88" s="32">
        <f t="shared" si="140"/>
        <v>2.5477435074538501E-3</v>
      </c>
      <c r="AZ88" s="32" t="str">
        <f t="shared" si="114"/>
        <v>1+0.0484072313787328i</v>
      </c>
      <c r="BA88" s="32">
        <f t="shared" si="141"/>
        <v>1.0011709444694019</v>
      </c>
      <c r="BB88" s="32">
        <f t="shared" si="142"/>
        <v>4.8369474205655752E-2</v>
      </c>
      <c r="BC88" s="60" t="str">
        <f t="shared" si="143"/>
        <v>-0.654300191810315+14.2692601977168i</v>
      </c>
      <c r="BD88" s="51">
        <f t="shared" si="144"/>
        <v>23.097150920738301</v>
      </c>
      <c r="BE88" s="63">
        <f t="shared" si="145"/>
        <v>92.625391778992025</v>
      </c>
      <c r="BF88" s="60" t="str">
        <f t="shared" si="146"/>
        <v>24.31930698563+329.629119983965i</v>
      </c>
      <c r="BG88" s="66">
        <f t="shared" si="147"/>
        <v>50.384086667961384</v>
      </c>
      <c r="BH88" s="63">
        <f t="shared" si="148"/>
        <v>85.780488932416688</v>
      </c>
      <c r="BI88" s="60" t="e">
        <f t="shared" si="101"/>
        <v>#NUM!</v>
      </c>
      <c r="BJ88" s="66" t="e">
        <f t="shared" si="149"/>
        <v>#NUM!</v>
      </c>
      <c r="BK88" s="63" t="e">
        <f t="shared" si="102"/>
        <v>#NUM!</v>
      </c>
      <c r="BL88" s="51">
        <f t="shared" si="150"/>
        <v>50.384086667961384</v>
      </c>
      <c r="BM88" s="63">
        <f t="shared" si="151"/>
        <v>85.780488932416688</v>
      </c>
    </row>
    <row r="89" spans="14:65" x14ac:dyDescent="0.3">
      <c r="N89" s="11">
        <v>71</v>
      </c>
      <c r="O89" s="52">
        <f t="shared" si="115"/>
        <v>51.28613839913649</v>
      </c>
      <c r="P89" s="50" t="str">
        <f t="shared" si="103"/>
        <v>23.3035714285714</v>
      </c>
      <c r="Q89" s="18" t="str">
        <f t="shared" si="104"/>
        <v>1+0.122221146624651i</v>
      </c>
      <c r="R89" s="18">
        <f t="shared" si="116"/>
        <v>1.007441317736296</v>
      </c>
      <c r="S89" s="18">
        <f t="shared" si="117"/>
        <v>0.12161796349471778</v>
      </c>
      <c r="T89" s="18" t="str">
        <f t="shared" si="105"/>
        <v>1+0.000570365350915037i</v>
      </c>
      <c r="U89" s="18">
        <f t="shared" si="118"/>
        <v>1.0000001626583035</v>
      </c>
      <c r="V89" s="18">
        <f t="shared" si="119"/>
        <v>5.703652890652705E-4</v>
      </c>
      <c r="W89" s="32" t="str">
        <f t="shared" si="106"/>
        <v>1-0.000787698538614614i</v>
      </c>
      <c r="X89" s="18">
        <f t="shared" si="120"/>
        <v>1.0000003102344457</v>
      </c>
      <c r="Y89" s="18">
        <f t="shared" si="121"/>
        <v>-7.8769837570050302E-4</v>
      </c>
      <c r="Z89" s="32" t="str">
        <f t="shared" si="107"/>
        <v>0.999999989478928+0.000386599757416125i</v>
      </c>
      <c r="AA89" s="18">
        <f t="shared" si="122"/>
        <v>1.000000064208612</v>
      </c>
      <c r="AB89" s="18">
        <f t="shared" si="123"/>
        <v>3.8659974222325096E-4</v>
      </c>
      <c r="AC89" s="68" t="str">
        <f t="shared" si="124"/>
        <v>22.9588963933282-2.82013643914071i</v>
      </c>
      <c r="AD89" s="66">
        <f t="shared" si="125"/>
        <v>27.284058074934361</v>
      </c>
      <c r="AE89" s="63">
        <f t="shared" si="126"/>
        <v>-7.0027988234264535</v>
      </c>
      <c r="AF89" s="51" t="e">
        <f t="shared" si="127"/>
        <v>#NUM!</v>
      </c>
      <c r="AG89" s="51" t="str">
        <f t="shared" si="108"/>
        <v>1-0.171109605274511i</v>
      </c>
      <c r="AH89" s="51">
        <f t="shared" si="128"/>
        <v>1.01453363523207</v>
      </c>
      <c r="AI89" s="51">
        <f t="shared" si="129"/>
        <v>-0.16946839745553702</v>
      </c>
      <c r="AJ89" s="51" t="str">
        <f t="shared" si="109"/>
        <v>1+0.000570365350915037i</v>
      </c>
      <c r="AK89" s="51">
        <f t="shared" si="130"/>
        <v>1.0000001626583035</v>
      </c>
      <c r="AL89" s="51">
        <f t="shared" si="131"/>
        <v>5.703652890652705E-4</v>
      </c>
      <c r="AM89" s="51" t="e">
        <f t="shared" si="110"/>
        <v>#NUM!</v>
      </c>
      <c r="AN89" s="51" t="e">
        <f t="shared" si="132"/>
        <v>#NUM!</v>
      </c>
      <c r="AO89" s="51" t="e">
        <f t="shared" si="133"/>
        <v>#NUM!</v>
      </c>
      <c r="AP89" s="60" t="e">
        <f t="shared" si="134"/>
        <v>#NUM!</v>
      </c>
      <c r="AQ89" s="51" t="e">
        <f t="shared" si="135"/>
        <v>#NUM!</v>
      </c>
      <c r="AR89" s="63" t="e">
        <f t="shared" si="136"/>
        <v>#NUM!</v>
      </c>
      <c r="AS89" s="32" t="str">
        <f t="shared" si="111"/>
        <v>-0.000170731707317073</v>
      </c>
      <c r="AT89" s="32" t="str">
        <f t="shared" si="112"/>
        <v>0.0000122451318275545i</v>
      </c>
      <c r="AU89" s="32">
        <f t="shared" si="137"/>
        <v>1.22451318275545E-5</v>
      </c>
      <c r="AV89" s="32">
        <f t="shared" si="138"/>
        <v>1.5707963267948966</v>
      </c>
      <c r="AW89" s="32" t="str">
        <f t="shared" si="113"/>
        <v>1+0.00260709371818791i</v>
      </c>
      <c r="AX89" s="32">
        <f t="shared" si="139"/>
        <v>1.000003398463053</v>
      </c>
      <c r="AY89" s="32">
        <f t="shared" si="140"/>
        <v>2.607087811460844E-3</v>
      </c>
      <c r="AZ89" s="32" t="str">
        <f t="shared" si="114"/>
        <v>1+0.0495347806455703i</v>
      </c>
      <c r="BA89" s="32">
        <f t="shared" si="141"/>
        <v>1.0012260955916024</v>
      </c>
      <c r="BB89" s="32">
        <f t="shared" si="142"/>
        <v>4.9494325781046074E-2</v>
      </c>
      <c r="BC89" s="60" t="str">
        <f t="shared" si="143"/>
        <v>-0.65429999165301+13.9445289548237i</v>
      </c>
      <c r="BD89" s="51">
        <f t="shared" si="144"/>
        <v>22.897628055299037</v>
      </c>
      <c r="BE89" s="63">
        <f t="shared" si="145"/>
        <v>92.686440848682764</v>
      </c>
      <c r="BF89" s="60" t="str">
        <f t="shared" si="146"/>
        <v>24.3034685136341+321.996210776153i</v>
      </c>
      <c r="BG89" s="66">
        <f t="shared" si="147"/>
        <v>50.181686130233416</v>
      </c>
      <c r="BH89" s="63">
        <f t="shared" si="148"/>
        <v>85.683642025256319</v>
      </c>
      <c r="BI89" s="60" t="e">
        <f t="shared" si="101"/>
        <v>#NUM!</v>
      </c>
      <c r="BJ89" s="66" t="e">
        <f t="shared" si="149"/>
        <v>#NUM!</v>
      </c>
      <c r="BK89" s="63" t="e">
        <f t="shared" si="102"/>
        <v>#NUM!</v>
      </c>
      <c r="BL89" s="51">
        <f t="shared" si="150"/>
        <v>50.181686130233416</v>
      </c>
      <c r="BM89" s="63">
        <f t="shared" si="151"/>
        <v>85.683642025256319</v>
      </c>
    </row>
    <row r="90" spans="14:65" x14ac:dyDescent="0.3">
      <c r="N90" s="11">
        <v>72</v>
      </c>
      <c r="O90" s="52">
        <f t="shared" si="115"/>
        <v>52.480746024977286</v>
      </c>
      <c r="P90" s="50" t="str">
        <f t="shared" si="103"/>
        <v>23.3035714285714</v>
      </c>
      <c r="Q90" s="18" t="str">
        <f t="shared" si="104"/>
        <v>1+0.125068042849524i</v>
      </c>
      <c r="R90" s="18">
        <f t="shared" si="116"/>
        <v>1.0077906604757807</v>
      </c>
      <c r="S90" s="18">
        <f t="shared" si="117"/>
        <v>0.12442199002206168</v>
      </c>
      <c r="T90" s="18" t="str">
        <f t="shared" si="105"/>
        <v>1+0.000583650866631111i</v>
      </c>
      <c r="U90" s="18">
        <f t="shared" si="118"/>
        <v>1.0000001703241526</v>
      </c>
      <c r="V90" s="18">
        <f t="shared" si="119"/>
        <v>5.8365080035789271E-4</v>
      </c>
      <c r="W90" s="32" t="str">
        <f t="shared" si="106"/>
        <v>1-0.000806046394594127i</v>
      </c>
      <c r="X90" s="18">
        <f t="shared" si="120"/>
        <v>1.0000003248553424</v>
      </c>
      <c r="Y90" s="18">
        <f t="shared" si="121"/>
        <v>-8.0604622002851498E-4</v>
      </c>
      <c r="Z90" s="32" t="str">
        <f t="shared" si="107"/>
        <v>0.999999988983085+0.000395604822581361i</v>
      </c>
      <c r="AA90" s="18">
        <f t="shared" si="122"/>
        <v>1.0000000672346707</v>
      </c>
      <c r="AB90" s="18">
        <f t="shared" si="123"/>
        <v>3.9560480630190337E-4</v>
      </c>
      <c r="AC90" s="68" t="str">
        <f t="shared" si="124"/>
        <v>22.9429025355236-2.88382553506051i</v>
      </c>
      <c r="AD90" s="66">
        <f t="shared" si="125"/>
        <v>27.281046824642594</v>
      </c>
      <c r="AE90" s="63">
        <f t="shared" si="126"/>
        <v>-7.1642637115693155</v>
      </c>
      <c r="AF90" s="51" t="e">
        <f t="shared" si="127"/>
        <v>#NUM!</v>
      </c>
      <c r="AG90" s="51" t="str">
        <f t="shared" si="108"/>
        <v>1-0.175095259989334i</v>
      </c>
      <c r="AH90" s="51">
        <f t="shared" si="128"/>
        <v>1.0152134504973487</v>
      </c>
      <c r="AI90" s="51">
        <f t="shared" si="129"/>
        <v>-0.17333809429784175</v>
      </c>
      <c r="AJ90" s="51" t="str">
        <f t="shared" si="109"/>
        <v>1+0.000583650866631111i</v>
      </c>
      <c r="AK90" s="51">
        <f t="shared" si="130"/>
        <v>1.0000001703241526</v>
      </c>
      <c r="AL90" s="51">
        <f t="shared" si="131"/>
        <v>5.8365080035789271E-4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-0.000170731707317073</v>
      </c>
      <c r="AT90" s="32" t="str">
        <f t="shared" si="112"/>
        <v>0.0000125303575886905i</v>
      </c>
      <c r="AU90" s="32">
        <f t="shared" si="137"/>
        <v>1.2530357588690501E-5</v>
      </c>
      <c r="AV90" s="32">
        <f t="shared" si="138"/>
        <v>1.5707963267948966</v>
      </c>
      <c r="AW90" s="32" t="str">
        <f t="shared" si="113"/>
        <v>1+0.00266782073204086i</v>
      </c>
      <c r="AX90" s="32">
        <f t="shared" si="139"/>
        <v>1.0000035586273972</v>
      </c>
      <c r="AY90" s="32">
        <f t="shared" si="140"/>
        <v>2.667814402869994E-3</v>
      </c>
      <c r="AZ90" s="32" t="str">
        <f t="shared" si="114"/>
        <v>1+0.0506885939087765i</v>
      </c>
      <c r="BA90" s="32">
        <f t="shared" si="141"/>
        <v>1.0012838426502491</v>
      </c>
      <c r="BB90" s="32">
        <f t="shared" si="142"/>
        <v>5.0645248741744163E-2</v>
      </c>
      <c r="BC90" s="60" t="str">
        <f t="shared" si="143"/>
        <v>-0.654299782062718+13.6271912857108i</v>
      </c>
      <c r="BD90" s="51">
        <f t="shared" si="144"/>
        <v>22.698127620028327</v>
      </c>
      <c r="BE90" s="63">
        <f t="shared" si="145"/>
        <v>92.748904499483515</v>
      </c>
      <c r="BF90" s="60" t="str">
        <f t="shared" si="146"/>
        <v>24.2869060720076+314.534207920096i</v>
      </c>
      <c r="BG90" s="66">
        <f t="shared" si="147"/>
        <v>49.97917444467091</v>
      </c>
      <c r="BH90" s="63">
        <f t="shared" si="148"/>
        <v>85.584640787914196</v>
      </c>
      <c r="BI90" s="60" t="e">
        <f t="shared" si="101"/>
        <v>#NUM!</v>
      </c>
      <c r="BJ90" s="66" t="e">
        <f t="shared" si="149"/>
        <v>#NUM!</v>
      </c>
      <c r="BK90" s="63" t="e">
        <f t="shared" si="102"/>
        <v>#NUM!</v>
      </c>
      <c r="BL90" s="51">
        <f t="shared" si="150"/>
        <v>49.97917444467091</v>
      </c>
      <c r="BM90" s="63">
        <f t="shared" si="151"/>
        <v>85.584640787914196</v>
      </c>
    </row>
    <row r="91" spans="14:65" x14ac:dyDescent="0.3">
      <c r="N91" s="11">
        <v>73</v>
      </c>
      <c r="O91" s="52">
        <f t="shared" si="115"/>
        <v>53.703179637025293</v>
      </c>
      <c r="P91" s="50" t="str">
        <f t="shared" si="103"/>
        <v>23.3035714285714</v>
      </c>
      <c r="Q91" s="18" t="str">
        <f t="shared" si="104"/>
        <v>1+0.127981251806187i</v>
      </c>
      <c r="R91" s="18">
        <f t="shared" si="116"/>
        <v>1.0081563374863438</v>
      </c>
      <c r="S91" s="18">
        <f t="shared" si="117"/>
        <v>0.12728929585234433</v>
      </c>
      <c r="T91" s="18" t="str">
        <f t="shared" si="105"/>
        <v>1+0.000597245841762204i</v>
      </c>
      <c r="U91" s="18">
        <f t="shared" si="118"/>
        <v>1.0000001783512817</v>
      </c>
      <c r="V91" s="18">
        <f t="shared" si="119"/>
        <v>5.9724577074917189E-4</v>
      </c>
      <c r="W91" s="32" t="str">
        <f t="shared" si="106"/>
        <v>1-0.000824821627041336i</v>
      </c>
      <c r="X91" s="18">
        <f t="shared" si="120"/>
        <v>1.0000003401653004</v>
      </c>
      <c r="Y91" s="18">
        <f t="shared" si="121"/>
        <v>-8.248214399909162E-4</v>
      </c>
      <c r="Z91" s="32" t="str">
        <f t="shared" si="107"/>
        <v>0.999999988463874+0.000404819642659977i</v>
      </c>
      <c r="AA91" s="18">
        <f t="shared" si="122"/>
        <v>1.0000000704033432</v>
      </c>
      <c r="AB91" s="18">
        <f t="shared" si="123"/>
        <v>4.0481962521622385E-4</v>
      </c>
      <c r="AC91" s="68" t="str">
        <f t="shared" si="124"/>
        <v>22.926178658001-2.94885811832033i</v>
      </c>
      <c r="AD91" s="66">
        <f t="shared" si="125"/>
        <v>27.277895894962811</v>
      </c>
      <c r="AE91" s="63">
        <f t="shared" si="126"/>
        <v>-7.329373010887771</v>
      </c>
      <c r="AF91" s="51" t="e">
        <f t="shared" si="127"/>
        <v>#NUM!</v>
      </c>
      <c r="AG91" s="51" t="str">
        <f t="shared" si="108"/>
        <v>1-0.179173752528662i</v>
      </c>
      <c r="AH91" s="51">
        <f t="shared" si="128"/>
        <v>1.0159248169009369</v>
      </c>
      <c r="AI91" s="51">
        <f t="shared" si="129"/>
        <v>-0.17729250589991563</v>
      </c>
      <c r="AJ91" s="51" t="str">
        <f t="shared" si="109"/>
        <v>1+0.000597245841762204i</v>
      </c>
      <c r="AK91" s="51">
        <f t="shared" si="130"/>
        <v>1.0000001783512817</v>
      </c>
      <c r="AL91" s="51">
        <f t="shared" si="131"/>
        <v>5.9724577074917189E-4</v>
      </c>
      <c r="AM91" s="51" t="e">
        <f t="shared" si="110"/>
        <v>#NUM!</v>
      </c>
      <c r="AN91" s="51" t="e">
        <f t="shared" si="132"/>
        <v>#NUM!</v>
      </c>
      <c r="AO91" s="51" t="e">
        <f t="shared" si="133"/>
        <v>#NUM!</v>
      </c>
      <c r="AP91" s="60" t="e">
        <f t="shared" si="134"/>
        <v>#NUM!</v>
      </c>
      <c r="AQ91" s="51" t="e">
        <f t="shared" si="135"/>
        <v>#NUM!</v>
      </c>
      <c r="AR91" s="63" t="e">
        <f t="shared" si="136"/>
        <v>#NUM!</v>
      </c>
      <c r="AS91" s="32" t="str">
        <f t="shared" si="111"/>
        <v>-0.000170731707317073</v>
      </c>
      <c r="AT91" s="32" t="str">
        <f t="shared" si="112"/>
        <v>0.000012822227111279i</v>
      </c>
      <c r="AU91" s="32">
        <f t="shared" si="137"/>
        <v>1.2822227111279E-5</v>
      </c>
      <c r="AV91" s="32">
        <f t="shared" si="138"/>
        <v>1.5707963267948966</v>
      </c>
      <c r="AW91" s="32" t="str">
        <f t="shared" si="113"/>
        <v>1+0.00272996225975872i</v>
      </c>
      <c r="AX91" s="32">
        <f t="shared" si="139"/>
        <v>1.000003726340027</v>
      </c>
      <c r="AY91" s="32">
        <f t="shared" si="140"/>
        <v>2.7299554779313161E-3</v>
      </c>
      <c r="AZ91" s="32" t="str">
        <f t="shared" si="114"/>
        <v>1+0.0518692829354158i</v>
      </c>
      <c r="BA91" s="32">
        <f t="shared" si="141"/>
        <v>1.0013443076745552</v>
      </c>
      <c r="BB91" s="32">
        <f t="shared" si="142"/>
        <v>5.1822841119093514E-2</v>
      </c>
      <c r="BC91" s="60" t="str">
        <f t="shared" si="143"/>
        <v>-0.654299562594876+13.3170789337421i</v>
      </c>
      <c r="BD91" s="51">
        <f t="shared" si="144"/>
        <v>22.49865066659174</v>
      </c>
      <c r="BE91" s="63">
        <f t="shared" si="145"/>
        <v>92.812815151356986</v>
      </c>
      <c r="BF91" s="60" t="str">
        <f t="shared" si="146"/>
        <v>24.269587658176+307.239167414644i</v>
      </c>
      <c r="BG91" s="66">
        <f t="shared" si="147"/>
        <v>49.776546561554547</v>
      </c>
      <c r="BH91" s="63">
        <f t="shared" si="148"/>
        <v>85.483442140469222</v>
      </c>
      <c r="BI91" s="60" t="e">
        <f t="shared" si="101"/>
        <v>#NUM!</v>
      </c>
      <c r="BJ91" s="66" t="e">
        <f t="shared" si="149"/>
        <v>#NUM!</v>
      </c>
      <c r="BK91" s="63" t="e">
        <f t="shared" si="102"/>
        <v>#NUM!</v>
      </c>
      <c r="BL91" s="51">
        <f t="shared" si="150"/>
        <v>49.776546561554547</v>
      </c>
      <c r="BM91" s="63">
        <f t="shared" si="151"/>
        <v>85.483442140469222</v>
      </c>
    </row>
    <row r="92" spans="14:65" x14ac:dyDescent="0.3">
      <c r="N92" s="11">
        <v>74</v>
      </c>
      <c r="O92" s="52">
        <f t="shared" si="115"/>
        <v>54.95408738576247</v>
      </c>
      <c r="P92" s="50" t="str">
        <f t="shared" si="103"/>
        <v>23.3035714285714</v>
      </c>
      <c r="Q92" s="18" t="str">
        <f t="shared" si="104"/>
        <v>1+0.130962318116589i</v>
      </c>
      <c r="R92" s="18">
        <f t="shared" si="116"/>
        <v>1.0085391062157534</v>
      </c>
      <c r="S92" s="18">
        <f t="shared" si="117"/>
        <v>0.13022121258135971</v>
      </c>
      <c r="T92" s="18" t="str">
        <f t="shared" si="105"/>
        <v>1+0.000611157484544085i</v>
      </c>
      <c r="U92" s="18">
        <f t="shared" si="118"/>
        <v>1.0000001867567179</v>
      </c>
      <c r="V92" s="18">
        <f t="shared" si="119"/>
        <v>6.1115740845225095E-4</v>
      </c>
      <c r="W92" s="32" t="str">
        <f t="shared" si="106"/>
        <v>1-0.00084403419083301i</v>
      </c>
      <c r="X92" s="18">
        <f t="shared" si="120"/>
        <v>1.0000003561967943</v>
      </c>
      <c r="Y92" s="18">
        <f t="shared" si="121"/>
        <v>-8.4403399040487801E-4</v>
      </c>
      <c r="Z92" s="32" t="str">
        <f t="shared" si="107"/>
        <v>0.999999987920193+0.000414249103471554i</v>
      </c>
      <c r="AA92" s="18">
        <f t="shared" si="122"/>
        <v>1.0000000737213501</v>
      </c>
      <c r="AB92" s="18">
        <f t="shared" si="123"/>
        <v>4.1424908478023589E-4</v>
      </c>
      <c r="AC92" s="68" t="str">
        <f t="shared" si="124"/>
        <v>22.9086925904592-3.01525583188848i</v>
      </c>
      <c r="AD92" s="66">
        <f t="shared" si="125"/>
        <v>27.274598915220011</v>
      </c>
      <c r="AE92" s="63">
        <f t="shared" si="126"/>
        <v>-7.4982034535061954</v>
      </c>
      <c r="AF92" s="51" t="e">
        <f t="shared" si="127"/>
        <v>#NUM!</v>
      </c>
      <c r="AG92" s="51" t="str">
        <f t="shared" si="108"/>
        <v>1-0.183347245363226i</v>
      </c>
      <c r="AH92" s="51">
        <f t="shared" si="128"/>
        <v>1.0166691754854589</v>
      </c>
      <c r="AI92" s="51">
        <f t="shared" si="129"/>
        <v>-0.18133323400482945</v>
      </c>
      <c r="AJ92" s="51" t="str">
        <f t="shared" si="109"/>
        <v>1+0.000611157484544085i</v>
      </c>
      <c r="AK92" s="51">
        <f t="shared" si="130"/>
        <v>1.0000001867567179</v>
      </c>
      <c r="AL92" s="51">
        <f t="shared" si="131"/>
        <v>6.1115740845225095E-4</v>
      </c>
      <c r="AM92" s="51" t="e">
        <f t="shared" si="110"/>
        <v>#NUM!</v>
      </c>
      <c r="AN92" s="51" t="e">
        <f t="shared" si="132"/>
        <v>#NUM!</v>
      </c>
      <c r="AO92" s="51" t="e">
        <f t="shared" si="133"/>
        <v>#NUM!</v>
      </c>
      <c r="AP92" s="60" t="e">
        <f t="shared" si="134"/>
        <v>#NUM!</v>
      </c>
      <c r="AQ92" s="51" t="e">
        <f t="shared" si="135"/>
        <v>#NUM!</v>
      </c>
      <c r="AR92" s="63" t="e">
        <f t="shared" si="136"/>
        <v>#NUM!</v>
      </c>
      <c r="AS92" s="32" t="str">
        <f t="shared" si="111"/>
        <v>-0.000170731707317073</v>
      </c>
      <c r="AT92" s="32" t="str">
        <f t="shared" si="112"/>
        <v>0.0000131208951484041i</v>
      </c>
      <c r="AU92" s="32">
        <f t="shared" si="137"/>
        <v>1.3120895148404101E-5</v>
      </c>
      <c r="AV92" s="32">
        <f t="shared" si="138"/>
        <v>1.5707963267948966</v>
      </c>
      <c r="AW92" s="32" t="str">
        <f t="shared" si="113"/>
        <v>1+0.00279355124960204i</v>
      </c>
      <c r="AX92" s="32">
        <f t="shared" si="139"/>
        <v>1.0000039019566795</v>
      </c>
      <c r="AY92" s="32">
        <f t="shared" si="140"/>
        <v>2.7935439827445835E-3</v>
      </c>
      <c r="AZ92" s="32" t="str">
        <f t="shared" si="114"/>
        <v>1+0.0530774737424388i</v>
      </c>
      <c r="BA92" s="32">
        <f t="shared" si="141"/>
        <v>1.001407618414639</v>
      </c>
      <c r="BB92" s="32">
        <f t="shared" si="142"/>
        <v>5.3027714216782575E-2</v>
      </c>
      <c r="BC92" s="60" t="str">
        <f t="shared" si="143"/>
        <v>-0.654299332783997+13.0140274732399i</v>
      </c>
      <c r="BD92" s="51">
        <f t="shared" si="144"/>
        <v>22.299198295695838</v>
      </c>
      <c r="BE92" s="63">
        <f t="shared" si="145"/>
        <v>92.878205941752086</v>
      </c>
      <c r="BF92" s="60" t="str">
        <f t="shared" si="146"/>
        <v>24.2514799581524+300.107234627221i</v>
      </c>
      <c r="BG92" s="66">
        <f t="shared" si="147"/>
        <v>49.573797210915849</v>
      </c>
      <c r="BH92" s="63">
        <f t="shared" si="148"/>
        <v>85.380002488245893</v>
      </c>
      <c r="BI92" s="60" t="e">
        <f t="shared" si="101"/>
        <v>#NUM!</v>
      </c>
      <c r="BJ92" s="66" t="e">
        <f t="shared" si="149"/>
        <v>#NUM!</v>
      </c>
      <c r="BK92" s="63" t="e">
        <f t="shared" si="102"/>
        <v>#NUM!</v>
      </c>
      <c r="BL92" s="51">
        <f t="shared" si="150"/>
        <v>49.573797210915849</v>
      </c>
      <c r="BM92" s="63">
        <f t="shared" si="151"/>
        <v>85.380002488245893</v>
      </c>
    </row>
    <row r="93" spans="14:65" x14ac:dyDescent="0.3">
      <c r="N93" s="11">
        <v>75</v>
      </c>
      <c r="O93" s="52">
        <f t="shared" si="115"/>
        <v>56.234132519034915</v>
      </c>
      <c r="P93" s="50" t="str">
        <f t="shared" si="103"/>
        <v>23.3035714285714</v>
      </c>
      <c r="Q93" s="18" t="str">
        <f t="shared" si="104"/>
        <v>1+0.134012822381549i</v>
      </c>
      <c r="R93" s="18">
        <f t="shared" si="116"/>
        <v>1.0089397586390718</v>
      </c>
      <c r="S93" s="18">
        <f t="shared" si="117"/>
        <v>0.13321909301777501</v>
      </c>
      <c r="T93" s="18" t="str">
        <f t="shared" si="105"/>
        <v>1+0.000625393171113895i</v>
      </c>
      <c r="U93" s="18">
        <f t="shared" si="118"/>
        <v>1.00000019555829</v>
      </c>
      <c r="V93" s="18">
        <f t="shared" si="119"/>
        <v>6.2539308958002669E-4</v>
      </c>
      <c r="W93" s="32" t="str">
        <f t="shared" si="106"/>
        <v>1-0.000863694272724776i</v>
      </c>
      <c r="X93" s="18">
        <f t="shared" si="120"/>
        <v>1.0000003729838287</v>
      </c>
      <c r="Y93" s="18">
        <f t="shared" si="121"/>
        <v>-8.6369405796216754E-4</v>
      </c>
      <c r="Z93" s="32" t="str">
        <f t="shared" si="107"/>
        <v>0.999999987350889+0.000423898204641026i</v>
      </c>
      <c r="AA93" s="18">
        <f t="shared" si="122"/>
        <v>1.00000007719573</v>
      </c>
      <c r="AB93" s="18">
        <f t="shared" si="123"/>
        <v>4.2389818461291792E-4</v>
      </c>
      <c r="AC93" s="68" t="str">
        <f t="shared" si="124"/>
        <v>22.8904108538348-3.08304017571185i</v>
      </c>
      <c r="AD93" s="66">
        <f t="shared" si="125"/>
        <v>27.271149234454445</v>
      </c>
      <c r="AE93" s="63">
        <f t="shared" si="126"/>
        <v>-7.6708329971429841</v>
      </c>
      <c r="AF93" s="51" t="e">
        <f t="shared" si="127"/>
        <v>#NUM!</v>
      </c>
      <c r="AG93" s="51" t="str">
        <f t="shared" si="108"/>
        <v>1-0.187617951334169i</v>
      </c>
      <c r="AH93" s="51">
        <f t="shared" si="128"/>
        <v>1.017448030939581</v>
      </c>
      <c r="AI93" s="51">
        <f t="shared" si="129"/>
        <v>-0.18546189300063656</v>
      </c>
      <c r="AJ93" s="51" t="str">
        <f t="shared" si="109"/>
        <v>1+0.000625393171113895i</v>
      </c>
      <c r="AK93" s="51">
        <f t="shared" si="130"/>
        <v>1.00000019555829</v>
      </c>
      <c r="AL93" s="51">
        <f t="shared" si="131"/>
        <v>6.2539308958002669E-4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-0.000170731707317073</v>
      </c>
      <c r="AT93" s="32" t="str">
        <f t="shared" si="112"/>
        <v>0.0000134265200578124i</v>
      </c>
      <c r="AU93" s="32">
        <f t="shared" si="137"/>
        <v>1.34265200578124E-5</v>
      </c>
      <c r="AV93" s="32">
        <f t="shared" si="138"/>
        <v>1.5707963267948966</v>
      </c>
      <c r="AW93" s="32" t="str">
        <f t="shared" si="113"/>
        <v>1+0.00285862141729491i</v>
      </c>
      <c r="AX93" s="32">
        <f t="shared" si="139"/>
        <v>1.0000040858498567</v>
      </c>
      <c r="AY93" s="32">
        <f t="shared" si="140"/>
        <v>2.8586136307185749E-3</v>
      </c>
      <c r="AZ93" s="32" t="str">
        <f t="shared" si="114"/>
        <v>1+0.0543138069286033i</v>
      </c>
      <c r="BA93" s="32">
        <f t="shared" si="141"/>
        <v>1.001473908608246</v>
      </c>
      <c r="BB93" s="32">
        <f t="shared" si="142"/>
        <v>5.4260492873439245E-2</v>
      </c>
      <c r="BC93" s="60" t="str">
        <f t="shared" si="143"/>
        <v>-0.654299092142638+12.7178762223047i</v>
      </c>
      <c r="BD93" s="51">
        <f t="shared" si="144"/>
        <v>22.09977165934972</v>
      </c>
      <c r="BE93" s="63">
        <f t="shared" si="145"/>
        <v>92.945110739648996</v>
      </c>
      <c r="BF93" s="60" t="str">
        <f t="shared" si="146"/>
        <v>24.2325483026597+293.134642304779i</v>
      </c>
      <c r="BG93" s="66">
        <f t="shared" si="147"/>
        <v>49.370920893804175</v>
      </c>
      <c r="BH93" s="63">
        <f t="shared" si="148"/>
        <v>85.27427774250603</v>
      </c>
      <c r="BI93" s="60" t="e">
        <f t="shared" si="101"/>
        <v>#NUM!</v>
      </c>
      <c r="BJ93" s="66" t="e">
        <f t="shared" si="149"/>
        <v>#NUM!</v>
      </c>
      <c r="BK93" s="63" t="e">
        <f t="shared" si="102"/>
        <v>#NUM!</v>
      </c>
      <c r="BL93" s="51">
        <f t="shared" si="150"/>
        <v>49.370920893804175</v>
      </c>
      <c r="BM93" s="63">
        <f t="shared" si="151"/>
        <v>85.27427774250603</v>
      </c>
    </row>
    <row r="94" spans="14:65" x14ac:dyDescent="0.3">
      <c r="N94" s="11">
        <v>76</v>
      </c>
      <c r="O94" s="52">
        <f t="shared" si="115"/>
        <v>57.543993733715695</v>
      </c>
      <c r="P94" s="50" t="str">
        <f t="shared" si="103"/>
        <v>23.3035714285714</v>
      </c>
      <c r="Q94" s="18" t="str">
        <f t="shared" si="104"/>
        <v>1+0.137134382018804i</v>
      </c>
      <c r="R94" s="18">
        <f t="shared" si="116"/>
        <v>1.009359122776269</v>
      </c>
      <c r="S94" s="18">
        <f t="shared" si="117"/>
        <v>0.13628431102084385</v>
      </c>
      <c r="T94" s="18" t="str">
        <f t="shared" si="105"/>
        <v>1+0.000639960449421087i</v>
      </c>
      <c r="U94" s="18">
        <f t="shared" si="118"/>
        <v>1.0000002047746674</v>
      </c>
      <c r="V94" s="18">
        <f t="shared" si="119"/>
        <v>6.3996036205597403E-4</v>
      </c>
      <c r="W94" s="32" t="str">
        <f t="shared" si="106"/>
        <v>1-0.000883812296752286i</v>
      </c>
      <c r="X94" s="18">
        <f t="shared" si="120"/>
        <v>1.0000003905620116</v>
      </c>
      <c r="Y94" s="18">
        <f t="shared" si="121"/>
        <v>-8.8381206663000987E-4</v>
      </c>
      <c r="Z94" s="32" t="str">
        <f t="shared" si="107"/>
        <v>0.999999986754755+0.000433772062249556i</v>
      </c>
      <c r="AA94" s="18">
        <f t="shared" si="122"/>
        <v>1.0000000808338529</v>
      </c>
      <c r="AB94" s="18">
        <f t="shared" si="123"/>
        <v>4.3377204078905157E-4</v>
      </c>
      <c r="AC94" s="68" t="str">
        <f t="shared" si="124"/>
        <v>22.8712986174516-3.15223246213959i</v>
      </c>
      <c r="AD94" s="66">
        <f t="shared" si="125"/>
        <v>27.267539910062112</v>
      </c>
      <c r="AE94" s="63">
        <f t="shared" si="126"/>
        <v>-7.8473408160497682</v>
      </c>
      <c r="AF94" s="51" t="e">
        <f t="shared" si="127"/>
        <v>#NUM!</v>
      </c>
      <c r="AG94" s="51" t="str">
        <f t="shared" si="108"/>
        <v>1-0.191988134826327i</v>
      </c>
      <c r="AH94" s="51">
        <f t="shared" si="128"/>
        <v>1.0182629542088291</v>
      </c>
      <c r="AI94" s="51">
        <f t="shared" si="129"/>
        <v>-0.18968010867036753</v>
      </c>
      <c r="AJ94" s="51" t="str">
        <f t="shared" si="109"/>
        <v>1+0.000639960449421087i</v>
      </c>
      <c r="AK94" s="51">
        <f t="shared" si="130"/>
        <v>1.0000002047746674</v>
      </c>
      <c r="AL94" s="51">
        <f t="shared" si="131"/>
        <v>6.3996036205597403E-4</v>
      </c>
      <c r="AM94" s="51" t="e">
        <f t="shared" si="110"/>
        <v>#NUM!</v>
      </c>
      <c r="AN94" s="51" t="e">
        <f t="shared" si="132"/>
        <v>#NUM!</v>
      </c>
      <c r="AO94" s="51" t="e">
        <f t="shared" si="133"/>
        <v>#NUM!</v>
      </c>
      <c r="AP94" s="60" t="e">
        <f t="shared" si="134"/>
        <v>#NUM!</v>
      </c>
      <c r="AQ94" s="51" t="e">
        <f t="shared" si="135"/>
        <v>#NUM!</v>
      </c>
      <c r="AR94" s="63" t="e">
        <f t="shared" si="136"/>
        <v>#NUM!</v>
      </c>
      <c r="AS94" s="32" t="str">
        <f t="shared" si="111"/>
        <v>-0.000170731707317073</v>
      </c>
      <c r="AT94" s="32" t="str">
        <f t="shared" si="112"/>
        <v>0.0000137392638858764i</v>
      </c>
      <c r="AU94" s="32">
        <f t="shared" si="137"/>
        <v>1.3739263885876401E-5</v>
      </c>
      <c r="AV94" s="32">
        <f t="shared" si="138"/>
        <v>1.5707963267948966</v>
      </c>
      <c r="AW94" s="32" t="str">
        <f t="shared" si="113"/>
        <v>1+0.00292520726390156i</v>
      </c>
      <c r="AX94" s="32">
        <f t="shared" si="139"/>
        <v>1.0000042784096159</v>
      </c>
      <c r="AY94" s="32">
        <f t="shared" si="140"/>
        <v>2.9251989204366231E-3</v>
      </c>
      <c r="AZ94" s="32" t="str">
        <f t="shared" si="114"/>
        <v>1+0.0555789380141297i</v>
      </c>
      <c r="BA94" s="32">
        <f t="shared" si="141"/>
        <v>1.0015433182597637</v>
      </c>
      <c r="BB94" s="32">
        <f t="shared" si="142"/>
        <v>5.5521815728072639E-2</v>
      </c>
      <c r="BC94" s="60" t="str">
        <f t="shared" si="143"/>
        <v>-0.65429884016039+12.4284681576185i</v>
      </c>
      <c r="BD94" s="51">
        <f t="shared" si="144"/>
        <v>21.900371963227276</v>
      </c>
      <c r="BE94" s="63">
        <f t="shared" si="145"/>
        <v>93.013564159744391</v>
      </c>
      <c r="BF94" s="60" t="str">
        <f t="shared" si="146"/>
        <v>24.2127566227527+286.317708634275i</v>
      </c>
      <c r="BG94" s="66">
        <f t="shared" si="147"/>
        <v>49.167911873289384</v>
      </c>
      <c r="BH94" s="63">
        <f t="shared" si="148"/>
        <v>85.166223343694639</v>
      </c>
      <c r="BI94" s="60" t="e">
        <f t="shared" si="101"/>
        <v>#NUM!</v>
      </c>
      <c r="BJ94" s="66" t="e">
        <f t="shared" si="149"/>
        <v>#NUM!</v>
      </c>
      <c r="BK94" s="63" t="e">
        <f t="shared" si="102"/>
        <v>#NUM!</v>
      </c>
      <c r="BL94" s="51">
        <f t="shared" si="150"/>
        <v>49.167911873289384</v>
      </c>
      <c r="BM94" s="63">
        <f t="shared" si="151"/>
        <v>85.166223343694639</v>
      </c>
    </row>
    <row r="95" spans="14:65" x14ac:dyDescent="0.3">
      <c r="N95" s="11">
        <v>77</v>
      </c>
      <c r="O95" s="52">
        <f t="shared" si="115"/>
        <v>58.884365535558949</v>
      </c>
      <c r="P95" s="50" t="str">
        <f t="shared" si="103"/>
        <v>23.3035714285714</v>
      </c>
      <c r="Q95" s="18" t="str">
        <f t="shared" si="104"/>
        <v>1+0.140328652120594i</v>
      </c>
      <c r="R95" s="18">
        <f t="shared" si="116"/>
        <v>1.0097980642712594</v>
      </c>
      <c r="S95" s="18">
        <f t="shared" si="117"/>
        <v>0.13941826129264437</v>
      </c>
      <c r="T95" s="18" t="str">
        <f t="shared" si="105"/>
        <v>1+0.000654867043229441i</v>
      </c>
      <c r="U95" s="18">
        <f t="shared" si="118"/>
        <v>1.0000002144253992</v>
      </c>
      <c r="V95" s="18">
        <f t="shared" si="119"/>
        <v>6.54866949616037E-4</v>
      </c>
      <c r="W95" s="32" t="str">
        <f t="shared" si="106"/>
        <v>1-0.000904398929758173i</v>
      </c>
      <c r="X95" s="18">
        <f t="shared" si="120"/>
        <v>1.0000004089686285</v>
      </c>
      <c r="Y95" s="18">
        <f t="shared" si="121"/>
        <v>-9.0439868317771692E-4</v>
      </c>
      <c r="Z95" s="32" t="str">
        <f t="shared" si="107"/>
        <v>0.999999986130526+0.000443875911547141i</v>
      </c>
      <c r="AA95" s="18">
        <f t="shared" si="122"/>
        <v>1.0000000846434349</v>
      </c>
      <c r="AB95" s="18">
        <f t="shared" si="123"/>
        <v>4.438758885517962E-4</v>
      </c>
      <c r="AC95" s="68" t="str">
        <f t="shared" si="124"/>
        <v>22.8513196558029-3.2228537679374i</v>
      </c>
      <c r="AD95" s="66">
        <f t="shared" si="125"/>
        <v>27.263763696068647</v>
      </c>
      <c r="AE95" s="63">
        <f t="shared" si="126"/>
        <v>-8.027807289349969</v>
      </c>
      <c r="AF95" s="51" t="e">
        <f t="shared" si="127"/>
        <v>#NUM!</v>
      </c>
      <c r="AG95" s="51" t="str">
        <f t="shared" si="108"/>
        <v>1-0.196460112968833i</v>
      </c>
      <c r="AH95" s="51">
        <f t="shared" si="128"/>
        <v>1.0191155851951861</v>
      </c>
      <c r="AI95" s="51">
        <f t="shared" si="129"/>
        <v>-0.19398951682702903</v>
      </c>
      <c r="AJ95" s="51" t="str">
        <f t="shared" si="109"/>
        <v>1+0.000654867043229441i</v>
      </c>
      <c r="AK95" s="51">
        <f t="shared" si="130"/>
        <v>1.0000002144253992</v>
      </c>
      <c r="AL95" s="51">
        <f t="shared" si="131"/>
        <v>6.54866949616037E-4</v>
      </c>
      <c r="AM95" s="51" t="e">
        <f t="shared" si="110"/>
        <v>#NUM!</v>
      </c>
      <c r="AN95" s="51" t="e">
        <f t="shared" si="132"/>
        <v>#NUM!</v>
      </c>
      <c r="AO95" s="51" t="e">
        <f t="shared" si="133"/>
        <v>#NUM!</v>
      </c>
      <c r="AP95" s="60" t="e">
        <f t="shared" si="134"/>
        <v>#NUM!</v>
      </c>
      <c r="AQ95" s="51" t="e">
        <f t="shared" si="135"/>
        <v>#NUM!</v>
      </c>
      <c r="AR95" s="63" t="e">
        <f t="shared" si="136"/>
        <v>#NUM!</v>
      </c>
      <c r="AS95" s="32" t="str">
        <f t="shared" si="111"/>
        <v>-0.000170731707317073</v>
      </c>
      <c r="AT95" s="32" t="str">
        <f t="shared" si="112"/>
        <v>0.0000140592924535134i</v>
      </c>
      <c r="AU95" s="32">
        <f t="shared" si="137"/>
        <v>1.4059292453513399E-5</v>
      </c>
      <c r="AV95" s="32">
        <f t="shared" si="138"/>
        <v>1.5707963267948966</v>
      </c>
      <c r="AW95" s="32" t="str">
        <f t="shared" si="113"/>
        <v>1+0.00299334409411922i</v>
      </c>
      <c r="AX95" s="32">
        <f t="shared" si="139"/>
        <v>1.0000044800443975</v>
      </c>
      <c r="AY95" s="32">
        <f t="shared" si="140"/>
        <v>2.9933351539376311E-3</v>
      </c>
      <c r="AZ95" s="32" t="str">
        <f t="shared" si="114"/>
        <v>1+0.0568735377882653i</v>
      </c>
      <c r="BA95" s="32">
        <f t="shared" si="141"/>
        <v>1.0016159939320823</v>
      </c>
      <c r="BB95" s="32">
        <f t="shared" si="142"/>
        <v>5.6812335488195802E-2</v>
      </c>
      <c r="BC95" s="60" t="str">
        <f t="shared" si="143"/>
        <v>-0.65429857630279+12.1456498311903i</v>
      </c>
      <c r="BD95" s="51">
        <f t="shared" si="144"/>
        <v>21.701000469137167</v>
      </c>
      <c r="BE95" s="63">
        <f t="shared" si="145"/>
        <v>93.083601576766156</v>
      </c>
      <c r="BF95" s="60" t="str">
        <f t="shared" si="146"/>
        <v>24.1920674050681+279.652835351972i</v>
      </c>
      <c r="BG95" s="66">
        <f t="shared" si="147"/>
        <v>48.964764165205835</v>
      </c>
      <c r="BH95" s="63">
        <f t="shared" si="148"/>
        <v>85.055794287416191</v>
      </c>
      <c r="BI95" s="60" t="e">
        <f t="shared" si="101"/>
        <v>#NUM!</v>
      </c>
      <c r="BJ95" s="66" t="e">
        <f t="shared" si="149"/>
        <v>#NUM!</v>
      </c>
      <c r="BK95" s="63" t="e">
        <f t="shared" si="102"/>
        <v>#NUM!</v>
      </c>
      <c r="BL95" s="51">
        <f t="shared" si="150"/>
        <v>48.964764165205835</v>
      </c>
      <c r="BM95" s="63">
        <f t="shared" si="151"/>
        <v>85.055794287416191</v>
      </c>
    </row>
    <row r="96" spans="14:65" x14ac:dyDescent="0.3">
      <c r="N96" s="11">
        <v>78</v>
      </c>
      <c r="O96" s="52">
        <f t="shared" si="115"/>
        <v>60.255958607435822</v>
      </c>
      <c r="P96" s="50" t="str">
        <f t="shared" si="103"/>
        <v>23.3035714285714</v>
      </c>
      <c r="Q96" s="18" t="str">
        <f t="shared" si="104"/>
        <v>1+0.143597326331208i</v>
      </c>
      <c r="R96" s="18">
        <f t="shared" si="116"/>
        <v>1.0102574880343484</v>
      </c>
      <c r="S96" s="18">
        <f t="shared" si="117"/>
        <v>0.14262235912136997</v>
      </c>
      <c r="T96" s="18" t="str">
        <f t="shared" si="105"/>
        <v>1+0.000670120856212304i</v>
      </c>
      <c r="U96" s="18">
        <f t="shared" si="118"/>
        <v>1.0000002245309556</v>
      </c>
      <c r="V96" s="18">
        <f t="shared" si="119"/>
        <v>6.7012075590373562E-4</v>
      </c>
      <c r="W96" s="32" t="str">
        <f t="shared" si="106"/>
        <v>1-0.000925465087047752i</v>
      </c>
      <c r="X96" s="18">
        <f t="shared" si="120"/>
        <v>1.000000428242722</v>
      </c>
      <c r="Y96" s="18">
        <f t="shared" si="121"/>
        <v>-9.2546482283203924E-4</v>
      </c>
      <c r="Z96" s="32" t="str">
        <f t="shared" si="107"/>
        <v>0.999999985476878+0.000454215109728421i</v>
      </c>
      <c r="AA96" s="18">
        <f t="shared" si="122"/>
        <v>1.0000000886325571</v>
      </c>
      <c r="AB96" s="18">
        <f t="shared" si="123"/>
        <v>4.5421508508846519E-4</v>
      </c>
      <c r="AC96" s="68" t="str">
        <f t="shared" si="124"/>
        <v>22.83043630508-3.29492488270696i</v>
      </c>
      <c r="AD96" s="66">
        <f t="shared" si="125"/>
        <v>27.259813031031914</v>
      </c>
      <c r="AE96" s="63">
        <f t="shared" si="126"/>
        <v>-8.2123139865791046</v>
      </c>
      <c r="AF96" s="51" t="e">
        <f t="shared" si="127"/>
        <v>#NUM!</v>
      </c>
      <c r="AG96" s="51" t="str">
        <f t="shared" si="108"/>
        <v>1-0.201036256863692i</v>
      </c>
      <c r="AH96" s="51">
        <f t="shared" si="128"/>
        <v>1.0200076355467955</v>
      </c>
      <c r="AI96" s="51">
        <f t="shared" si="129"/>
        <v>-0.19839176182744275</v>
      </c>
      <c r="AJ96" s="51" t="str">
        <f t="shared" si="109"/>
        <v>1+0.000670120856212304i</v>
      </c>
      <c r="AK96" s="51">
        <f t="shared" si="130"/>
        <v>1.0000002245309556</v>
      </c>
      <c r="AL96" s="51">
        <f t="shared" si="131"/>
        <v>6.7012075590373562E-4</v>
      </c>
      <c r="AM96" s="51" t="e">
        <f t="shared" si="110"/>
        <v>#NUM!</v>
      </c>
      <c r="AN96" s="51" t="e">
        <f t="shared" si="132"/>
        <v>#NUM!</v>
      </c>
      <c r="AO96" s="51" t="e">
        <f t="shared" si="133"/>
        <v>#NUM!</v>
      </c>
      <c r="AP96" s="60" t="e">
        <f t="shared" si="134"/>
        <v>#NUM!</v>
      </c>
      <c r="AQ96" s="51" t="e">
        <f t="shared" si="135"/>
        <v>#NUM!</v>
      </c>
      <c r="AR96" s="63" t="e">
        <f t="shared" si="136"/>
        <v>#NUM!</v>
      </c>
      <c r="AS96" s="32" t="str">
        <f t="shared" si="111"/>
        <v>-0.000170731707317073</v>
      </c>
      <c r="AT96" s="32" t="str">
        <f t="shared" si="112"/>
        <v>0.000014386775444106i</v>
      </c>
      <c r="AU96" s="32">
        <f t="shared" si="137"/>
        <v>1.4386775444106001E-5</v>
      </c>
      <c r="AV96" s="32">
        <f t="shared" si="138"/>
        <v>1.5707963267948966</v>
      </c>
      <c r="AW96" s="32" t="str">
        <f t="shared" si="113"/>
        <v>1+0.00306306803499718i</v>
      </c>
      <c r="AX96" s="32">
        <f t="shared" si="139"/>
        <v>1.0000046911818898</v>
      </c>
      <c r="AY96" s="32">
        <f t="shared" si="140"/>
        <v>3.063058455422442E-3</v>
      </c>
      <c r="AZ96" s="32" t="str">
        <f t="shared" si="114"/>
        <v>1+0.0581982926649465i</v>
      </c>
      <c r="BA96" s="32">
        <f t="shared" si="141"/>
        <v>1.0016920890518777</v>
      </c>
      <c r="BB96" s="32">
        <f t="shared" si="142"/>
        <v>5.8132719200454104E-2</v>
      </c>
      <c r="BC96" s="60" t="str">
        <f t="shared" si="143"/>
        <v>-0.654298300010191+11.8692712889947i</v>
      </c>
      <c r="BD96" s="51">
        <f t="shared" si="144"/>
        <v>21.501658497601678</v>
      </c>
      <c r="BE96" s="63">
        <f t="shared" si="145"/>
        <v>93.155259139907571</v>
      </c>
      <c r="BF96" s="60" t="str">
        <f t="shared" si="146"/>
        <v>24.1704416468032+273.136505900525i</v>
      </c>
      <c r="BG96" s="66">
        <f t="shared" si="147"/>
        <v>48.761471528633599</v>
      </c>
      <c r="BH96" s="63">
        <f t="shared" si="148"/>
        <v>84.942945153328466</v>
      </c>
      <c r="BI96" s="60" t="e">
        <f t="shared" si="101"/>
        <v>#NUM!</v>
      </c>
      <c r="BJ96" s="66" t="e">
        <f t="shared" si="149"/>
        <v>#NUM!</v>
      </c>
      <c r="BK96" s="63" t="e">
        <f t="shared" si="102"/>
        <v>#NUM!</v>
      </c>
      <c r="BL96" s="51">
        <f t="shared" si="150"/>
        <v>48.761471528633599</v>
      </c>
      <c r="BM96" s="63">
        <f t="shared" si="151"/>
        <v>84.942945153328466</v>
      </c>
    </row>
    <row r="97" spans="14:65" x14ac:dyDescent="0.3">
      <c r="N97" s="11">
        <v>79</v>
      </c>
      <c r="O97" s="52">
        <f t="shared" si="115"/>
        <v>61.659500186148257</v>
      </c>
      <c r="P97" s="50" t="str">
        <f t="shared" si="103"/>
        <v>23.3035714285714</v>
      </c>
      <c r="Q97" s="18" t="str">
        <f t="shared" si="104"/>
        <v>1+0.146942137744978i</v>
      </c>
      <c r="R97" s="18">
        <f t="shared" si="116"/>
        <v>1.0107383399500902</v>
      </c>
      <c r="S97" s="18">
        <f t="shared" si="117"/>
        <v>0.14589804007206575</v>
      </c>
      <c r="T97" s="18" t="str">
        <f t="shared" si="105"/>
        <v>1+0.00068572997614323i</v>
      </c>
      <c r="U97" s="18">
        <f t="shared" si="118"/>
        <v>1.0000002351127726</v>
      </c>
      <c r="V97" s="18">
        <f t="shared" si="119"/>
        <v>6.8572986866066374E-4</v>
      </c>
      <c r="W97" s="32" t="str">
        <f t="shared" si="106"/>
        <v>1-0.000947021938176463i</v>
      </c>
      <c r="X97" s="18">
        <f t="shared" si="120"/>
        <v>1.0000004484251752</v>
      </c>
      <c r="Y97" s="18">
        <f t="shared" si="121"/>
        <v>-9.4702165506423282E-4</v>
      </c>
      <c r="Z97" s="32" t="str">
        <f t="shared" si="107"/>
        <v>0.999999984792424+0.000464795138773128i</v>
      </c>
      <c r="AA97" s="18">
        <f t="shared" si="122"/>
        <v>1.0000000928096804</v>
      </c>
      <c r="AB97" s="18">
        <f t="shared" si="123"/>
        <v>4.6479511237093992E-4</v>
      </c>
      <c r="AC97" s="68" t="str">
        <f t="shared" si="124"/>
        <v>22.8086094195864-3.36846625352182i</v>
      </c>
      <c r="AD97" s="66">
        <f t="shared" si="125"/>
        <v>27.25568002557381</v>
      </c>
      <c r="AE97" s="63">
        <f t="shared" si="126"/>
        <v>-8.400943650219423</v>
      </c>
      <c r="AF97" s="51" t="e">
        <f t="shared" si="127"/>
        <v>#NUM!</v>
      </c>
      <c r="AG97" s="51" t="str">
        <f t="shared" si="108"/>
        <v>1-0.205718992842969i</v>
      </c>
      <c r="AH97" s="51">
        <f t="shared" si="128"/>
        <v>1.02094089153894</v>
      </c>
      <c r="AI97" s="51">
        <f t="shared" si="129"/>
        <v>-0.20288849495861197</v>
      </c>
      <c r="AJ97" s="51" t="str">
        <f t="shared" si="109"/>
        <v>1+0.00068572997614323i</v>
      </c>
      <c r="AK97" s="51">
        <f t="shared" si="130"/>
        <v>1.0000002351127726</v>
      </c>
      <c r="AL97" s="51">
        <f t="shared" si="131"/>
        <v>6.8572986866066374E-4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-0.000170731707317073</v>
      </c>
      <c r="AT97" s="32" t="str">
        <f t="shared" si="112"/>
        <v>0.0000147218864934705i</v>
      </c>
      <c r="AU97" s="32">
        <f t="shared" si="137"/>
        <v>1.4721886493470499E-5</v>
      </c>
      <c r="AV97" s="32">
        <f t="shared" si="138"/>
        <v>1.5707963267948966</v>
      </c>
      <c r="AW97" s="32" t="str">
        <f t="shared" si="113"/>
        <v>1+0.0031344160550918i</v>
      </c>
      <c r="AX97" s="32">
        <f t="shared" si="139"/>
        <v>1.0000049122699379</v>
      </c>
      <c r="AY97" s="32">
        <f t="shared" si="140"/>
        <v>3.1344057903952556E-3</v>
      </c>
      <c r="AZ97" s="32" t="str">
        <f t="shared" si="114"/>
        <v>1+0.0595539050467443i</v>
      </c>
      <c r="BA97" s="32">
        <f t="shared" si="141"/>
        <v>1.001771764228917</v>
      </c>
      <c r="BB97" s="32">
        <f t="shared" si="142"/>
        <v>5.9483648523555463E-2</v>
      </c>
      <c r="BC97" s="60" t="str">
        <f t="shared" si="143"/>
        <v>-0.654298010696579+11.5991859914652i</v>
      </c>
      <c r="BD97" s="51">
        <f t="shared" si="144"/>
        <v>21.302347430552331</v>
      </c>
      <c r="BE97" s="63">
        <f t="shared" si="145"/>
        <v>93.228573787368305</v>
      </c>
      <c r="BF97" s="60" t="str">
        <f t="shared" si="146"/>
        <v>24.1478388105829+266.765283633246i</v>
      </c>
      <c r="BG97" s="66">
        <f t="shared" si="147"/>
        <v>48.558027456126148</v>
      </c>
      <c r="BH97" s="63">
        <f t="shared" si="148"/>
        <v>84.827630137148901</v>
      </c>
      <c r="BI97" s="60" t="e">
        <f t="shared" si="101"/>
        <v>#NUM!</v>
      </c>
      <c r="BJ97" s="66" t="e">
        <f t="shared" si="149"/>
        <v>#NUM!</v>
      </c>
      <c r="BK97" s="63" t="e">
        <f t="shared" si="102"/>
        <v>#NUM!</v>
      </c>
      <c r="BL97" s="51">
        <f t="shared" si="150"/>
        <v>48.558027456126148</v>
      </c>
      <c r="BM97" s="63">
        <f t="shared" si="151"/>
        <v>84.827630137148901</v>
      </c>
    </row>
    <row r="98" spans="14:65" x14ac:dyDescent="0.3">
      <c r="N98" s="11">
        <v>80</v>
      </c>
      <c r="O98" s="52">
        <f t="shared" si="115"/>
        <v>63.095734448019364</v>
      </c>
      <c r="P98" s="50" t="str">
        <f t="shared" si="103"/>
        <v>23.3035714285714</v>
      </c>
      <c r="Q98" s="18" t="str">
        <f t="shared" si="104"/>
        <v>1+0.150364859825189i</v>
      </c>
      <c r="R98" s="18">
        <f t="shared" si="116"/>
        <v>1.0112416086525755</v>
      </c>
      <c r="S98" s="18">
        <f t="shared" si="117"/>
        <v>0.14924675962098846</v>
      </c>
      <c r="T98" s="18" t="str">
        <f t="shared" si="105"/>
        <v>1+0.000701702679184215i</v>
      </c>
      <c r="U98" s="18">
        <f t="shared" si="118"/>
        <v>1.0000002461932946</v>
      </c>
      <c r="V98" s="18">
        <f t="shared" si="119"/>
        <v>7.0170256401457182E-4</v>
      </c>
      <c r="W98" s="32" t="str">
        <f t="shared" si="106"/>
        <v>1-0.000969080912872111i</v>
      </c>
      <c r="X98" s="18">
        <f t="shared" si="120"/>
        <v>1.0000004695587976</v>
      </c>
      <c r="Y98" s="18">
        <f t="shared" si="121"/>
        <v>-9.6908060951189851E-4</v>
      </c>
      <c r="Z98" s="32" t="str">
        <f t="shared" si="107"/>
        <v>0.999999984075713+0.000475621608352702i</v>
      </c>
      <c r="AA98" s="18">
        <f t="shared" si="122"/>
        <v>1.0000000971836656</v>
      </c>
      <c r="AB98" s="18">
        <f t="shared" si="123"/>
        <v>4.7562158006224793E-4</v>
      </c>
      <c r="AC98" s="68" t="str">
        <f t="shared" si="124"/>
        <v>22.7857983281834-3.44349792558512i</v>
      </c>
      <c r="AD98" s="66">
        <f t="shared" si="125"/>
        <v>27.251356449538964</v>
      </c>
      <c r="AE98" s="63">
        <f t="shared" si="126"/>
        <v>-8.5937801750105525</v>
      </c>
      <c r="AF98" s="51" t="e">
        <f t="shared" si="127"/>
        <v>#NUM!</v>
      </c>
      <c r="AG98" s="51" t="str">
        <f t="shared" si="108"/>
        <v>1-0.210510803755265i</v>
      </c>
      <c r="AH98" s="51">
        <f t="shared" si="128"/>
        <v>1.0219172170472948</v>
      </c>
      <c r="AI98" s="51">
        <f t="shared" si="129"/>
        <v>-0.20748137269021535</v>
      </c>
      <c r="AJ98" s="51" t="str">
        <f t="shared" si="109"/>
        <v>1+0.000701702679184215i</v>
      </c>
      <c r="AK98" s="51">
        <f t="shared" si="130"/>
        <v>1.0000002461932946</v>
      </c>
      <c r="AL98" s="51">
        <f t="shared" si="131"/>
        <v>7.0170256401457182E-4</v>
      </c>
      <c r="AM98" s="51" t="e">
        <f t="shared" si="110"/>
        <v>#NUM!</v>
      </c>
      <c r="AN98" s="51" t="e">
        <f t="shared" si="132"/>
        <v>#NUM!</v>
      </c>
      <c r="AO98" s="51" t="e">
        <f t="shared" si="133"/>
        <v>#NUM!</v>
      </c>
      <c r="AP98" s="60" t="e">
        <f t="shared" si="134"/>
        <v>#NUM!</v>
      </c>
      <c r="AQ98" s="51" t="e">
        <f t="shared" si="135"/>
        <v>#NUM!</v>
      </c>
      <c r="AR98" s="63" t="e">
        <f t="shared" si="136"/>
        <v>#NUM!</v>
      </c>
      <c r="AS98" s="32" t="str">
        <f t="shared" si="111"/>
        <v>-0.000170731707317073</v>
      </c>
      <c r="AT98" s="32" t="str">
        <f t="shared" si="112"/>
        <v>0.000015064803281921i</v>
      </c>
      <c r="AU98" s="32">
        <f t="shared" si="137"/>
        <v>1.5064803281921E-5</v>
      </c>
      <c r="AV98" s="32">
        <f t="shared" si="138"/>
        <v>1.5707963267948966</v>
      </c>
      <c r="AW98" s="32" t="str">
        <f t="shared" si="113"/>
        <v>1+0.00320742598406772i</v>
      </c>
      <c r="AX98" s="32">
        <f t="shared" si="139"/>
        <v>1.0000051437774924</v>
      </c>
      <c r="AY98" s="32">
        <f t="shared" si="140"/>
        <v>3.2074149852502659E-3</v>
      </c>
      <c r="AZ98" s="32" t="str">
        <f t="shared" si="114"/>
        <v>1+0.0609410936972868i</v>
      </c>
      <c r="BA98" s="32">
        <f t="shared" si="141"/>
        <v>1.0018551875900137</v>
      </c>
      <c r="BB98" s="32">
        <f t="shared" si="142"/>
        <v>6.086582000328053E-2</v>
      </c>
      <c r="BC98" s="60" t="str">
        <f t="shared" si="143"/>
        <v>-0.654297707748308+11.3352507357963i</v>
      </c>
      <c r="BD98" s="51">
        <f t="shared" si="144"/>
        <v>21.103068714144531</v>
      </c>
      <c r="BE98" s="63">
        <f t="shared" si="145"/>
        <v>93.303583260989043</v>
      </c>
      <c r="BF98" s="60" t="str">
        <f t="shared" si="146"/>
        <v>24.1242167793561+260.535810064593i</v>
      </c>
      <c r="BG98" s="66">
        <f t="shared" si="147"/>
        <v>48.354425163683487</v>
      </c>
      <c r="BH98" s="63">
        <f t="shared" si="148"/>
        <v>84.709803085978507</v>
      </c>
      <c r="BI98" s="60" t="e">
        <f t="shared" si="101"/>
        <v>#NUM!</v>
      </c>
      <c r="BJ98" s="66" t="e">
        <f t="shared" si="149"/>
        <v>#NUM!</v>
      </c>
      <c r="BK98" s="63" t="e">
        <f t="shared" si="102"/>
        <v>#NUM!</v>
      </c>
      <c r="BL98" s="51">
        <f t="shared" si="150"/>
        <v>48.354425163683487</v>
      </c>
      <c r="BM98" s="63">
        <f t="shared" si="151"/>
        <v>84.709803085978507</v>
      </c>
    </row>
    <row r="99" spans="14:65" x14ac:dyDescent="0.3">
      <c r="N99" s="11">
        <v>81</v>
      </c>
      <c r="O99" s="52">
        <f t="shared" si="115"/>
        <v>64.565422903465588</v>
      </c>
      <c r="P99" s="50" t="str">
        <f t="shared" si="103"/>
        <v>23.3035714285714</v>
      </c>
      <c r="Q99" s="18" t="str">
        <f t="shared" si="104"/>
        <v>1+0.153867307344394i</v>
      </c>
      <c r="R99" s="18">
        <f t="shared" si="116"/>
        <v>1.0117683273701614</v>
      </c>
      <c r="S99" s="18">
        <f t="shared" si="117"/>
        <v>0.15266999272958237</v>
      </c>
      <c r="T99" s="18" t="str">
        <f t="shared" si="105"/>
        <v>1+0.000718047434273838i</v>
      </c>
      <c r="U99" s="18">
        <f t="shared" si="118"/>
        <v>1.0000002577960256</v>
      </c>
      <c r="V99" s="18">
        <f t="shared" si="119"/>
        <v>7.1804731086734378E-4</v>
      </c>
      <c r="W99" s="32" t="str">
        <f t="shared" si="106"/>
        <v>1-0.000991653707095067i</v>
      </c>
      <c r="X99" s="18">
        <f t="shared" si="120"/>
        <v>1.0000004916884166</v>
      </c>
      <c r="Y99" s="18">
        <f t="shared" si="121"/>
        <v>-9.9165338203875165E-4</v>
      </c>
      <c r="Z99" s="32" t="str">
        <f t="shared" si="107"/>
        <v>0.999999983325225+0.000486700258804621i</v>
      </c>
      <c r="AA99" s="18">
        <f t="shared" si="122"/>
        <v>1.0000001017637909</v>
      </c>
      <c r="AB99" s="18">
        <f t="shared" si="123"/>
        <v>4.867002284908532E-4</v>
      </c>
      <c r="AC99" s="68" t="str">
        <f t="shared" si="124"/>
        <v>22.7619607909406-3.52003947871169i</v>
      </c>
      <c r="AD99" s="66">
        <f t="shared" si="125"/>
        <v>27.246833718783105</v>
      </c>
      <c r="AE99" s="63">
        <f t="shared" si="126"/>
        <v>-8.7909085838059138</v>
      </c>
      <c r="AF99" s="51" t="e">
        <f t="shared" si="127"/>
        <v>#NUM!</v>
      </c>
      <c r="AG99" s="51" t="str">
        <f t="shared" si="108"/>
        <v>1-0.215414230282152i</v>
      </c>
      <c r="AH99" s="51">
        <f t="shared" si="128"/>
        <v>1.0229385566142533</v>
      </c>
      <c r="AI99" s="51">
        <f t="shared" si="129"/>
        <v>-0.21217205478672813</v>
      </c>
      <c r="AJ99" s="51" t="str">
        <f t="shared" si="109"/>
        <v>1+0.000718047434273838i</v>
      </c>
      <c r="AK99" s="51">
        <f t="shared" si="130"/>
        <v>1.0000002577960256</v>
      </c>
      <c r="AL99" s="51">
        <f t="shared" si="131"/>
        <v>7.1804731086734378E-4</v>
      </c>
      <c r="AM99" s="51" t="e">
        <f t="shared" si="110"/>
        <v>#NUM!</v>
      </c>
      <c r="AN99" s="51" t="e">
        <f t="shared" si="132"/>
        <v>#NUM!</v>
      </c>
      <c r="AO99" s="51" t="e">
        <f t="shared" si="133"/>
        <v>#NUM!</v>
      </c>
      <c r="AP99" s="60" t="e">
        <f t="shared" si="134"/>
        <v>#NUM!</v>
      </c>
      <c r="AQ99" s="51" t="e">
        <f t="shared" si="135"/>
        <v>#NUM!</v>
      </c>
      <c r="AR99" s="63" t="e">
        <f t="shared" si="136"/>
        <v>#NUM!</v>
      </c>
      <c r="AS99" s="32" t="str">
        <f t="shared" si="111"/>
        <v>-0.000170731707317073</v>
      </c>
      <c r="AT99" s="32" t="str">
        <f t="shared" si="112"/>
        <v>0.0000154157076284779i</v>
      </c>
      <c r="AU99" s="32">
        <f t="shared" si="137"/>
        <v>1.5415707628477899E-5</v>
      </c>
      <c r="AV99" s="32">
        <f t="shared" si="138"/>
        <v>1.5707963267948966</v>
      </c>
      <c r="AW99" s="32" t="str">
        <f t="shared" si="113"/>
        <v>1+0.0032821365327557i</v>
      </c>
      <c r="AX99" s="32">
        <f t="shared" si="139"/>
        <v>1.0000053861956042</v>
      </c>
      <c r="AY99" s="32">
        <f t="shared" si="140"/>
        <v>3.2821247473138913E-3</v>
      </c>
      <c r="AZ99" s="32" t="str">
        <f t="shared" si="114"/>
        <v>1+0.0623605941223584i</v>
      </c>
      <c r="BA99" s="32">
        <f t="shared" si="141"/>
        <v>1.0019425351282845</v>
      </c>
      <c r="BB99" s="32">
        <f t="shared" si="142"/>
        <v>6.2279945349328472E-2</v>
      </c>
      <c r="BC99" s="60" t="str">
        <f t="shared" si="143"/>
        <v>-0.654297390522823+11.0773255800156i</v>
      </c>
      <c r="BD99" s="51">
        <f t="shared" si="144"/>
        <v>20.903823861697923</v>
      </c>
      <c r="BE99" s="63">
        <f t="shared" si="145"/>
        <v>93.380326120965393</v>
      </c>
      <c r="BF99" s="60" t="str">
        <f t="shared" si="146"/>
        <v>24.0995318115025+254.444803166257i</v>
      </c>
      <c r="BG99" s="66">
        <f t="shared" si="147"/>
        <v>48.150657580481031</v>
      </c>
      <c r="BH99" s="63">
        <f t="shared" si="148"/>
        <v>84.589417537159505</v>
      </c>
      <c r="BI99" s="60" t="e">
        <f t="shared" si="101"/>
        <v>#NUM!</v>
      </c>
      <c r="BJ99" s="66" t="e">
        <f t="shared" si="149"/>
        <v>#NUM!</v>
      </c>
      <c r="BK99" s="63" t="e">
        <f t="shared" si="102"/>
        <v>#NUM!</v>
      </c>
      <c r="BL99" s="51">
        <f t="shared" si="150"/>
        <v>48.150657580481031</v>
      </c>
      <c r="BM99" s="63">
        <f t="shared" si="151"/>
        <v>84.589417537159505</v>
      </c>
    </row>
    <row r="100" spans="14:65" x14ac:dyDescent="0.3">
      <c r="N100" s="11">
        <v>82</v>
      </c>
      <c r="O100" s="52">
        <f t="shared" si="115"/>
        <v>66.069344800759623</v>
      </c>
      <c r="P100" s="50" t="str">
        <f t="shared" si="103"/>
        <v>23.3035714285714</v>
      </c>
      <c r="Q100" s="18" t="str">
        <f t="shared" si="104"/>
        <v>1+0.157451337346627i</v>
      </c>
      <c r="R100" s="18">
        <f t="shared" si="116"/>
        <v>1.0123195758416614</v>
      </c>
      <c r="S100" s="18">
        <f t="shared" si="117"/>
        <v>0.15616923335386243</v>
      </c>
      <c r="T100" s="18" t="str">
        <f t="shared" si="105"/>
        <v>1+0.000734772907617594i</v>
      </c>
      <c r="U100" s="18">
        <f t="shared" si="118"/>
        <v>1.0000002699455763</v>
      </c>
      <c r="V100" s="18">
        <f t="shared" si="119"/>
        <v>7.3477277538515492E-4</v>
      </c>
      <c r="W100" s="32" t="str">
        <f t="shared" si="106"/>
        <v>1-0.00101475228923961i</v>
      </c>
      <c r="X100" s="18">
        <f t="shared" si="120"/>
        <v>1.0000005148609719</v>
      </c>
      <c r="Y100" s="18">
        <f t="shared" si="121"/>
        <v>-1.0147519409355024E-3</v>
      </c>
      <c r="Z100" s="32" t="str">
        <f t="shared" si="107"/>
        <v>0.999999982539367+0.000498036964175998i</v>
      </c>
      <c r="AA100" s="18">
        <f t="shared" si="122"/>
        <v>1.0000001065597703</v>
      </c>
      <c r="AB100" s="18">
        <f t="shared" si="123"/>
        <v>4.9803693169421092E-4</v>
      </c>
      <c r="AC100" s="68" t="str">
        <f t="shared" si="124"/>
        <v>22.7370529561764-3.59810995943366i</v>
      </c>
      <c r="AD100" s="66">
        <f t="shared" si="125"/>
        <v>27.242102881592164</v>
      </c>
      <c r="AE100" s="63">
        <f t="shared" si="126"/>
        <v>-8.9924149997353524</v>
      </c>
      <c r="AF100" s="51" t="e">
        <f t="shared" si="127"/>
        <v>#NUM!</v>
      </c>
      <c r="AG100" s="51" t="str">
        <f t="shared" si="108"/>
        <v>1-0.220431872285279i</v>
      </c>
      <c r="AH100" s="51">
        <f t="shared" si="128"/>
        <v>1.0240069386089108</v>
      </c>
      <c r="AI100" s="51">
        <f t="shared" si="129"/>
        <v>-0.21696220227264534</v>
      </c>
      <c r="AJ100" s="51" t="str">
        <f t="shared" si="109"/>
        <v>1+0.000734772907617594i</v>
      </c>
      <c r="AK100" s="51">
        <f t="shared" si="130"/>
        <v>1.0000002699455763</v>
      </c>
      <c r="AL100" s="51">
        <f t="shared" si="131"/>
        <v>7.3477277538515492E-4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-0.000170731707317073</v>
      </c>
      <c r="AT100" s="32" t="str">
        <f t="shared" si="112"/>
        <v>0.0000157747855872704i</v>
      </c>
      <c r="AU100" s="32">
        <f t="shared" si="137"/>
        <v>1.5774785587270401E-5</v>
      </c>
      <c r="AV100" s="32">
        <f t="shared" si="138"/>
        <v>1.5707963267948966</v>
      </c>
      <c r="AW100" s="32" t="str">
        <f t="shared" si="113"/>
        <v>1+0.00335858731367756i</v>
      </c>
      <c r="AX100" s="32">
        <f t="shared" si="139"/>
        <v>1.0000056400384667</v>
      </c>
      <c r="AY100" s="32">
        <f t="shared" si="140"/>
        <v>3.3585746853529884E-3</v>
      </c>
      <c r="AZ100" s="32" t="str">
        <f t="shared" si="114"/>
        <v>1+0.0638131589598737i</v>
      </c>
      <c r="BA100" s="32">
        <f t="shared" si="141"/>
        <v>1.002033991068386</v>
      </c>
      <c r="BB100" s="32">
        <f t="shared" si="142"/>
        <v>6.3726751713722288E-2</v>
      </c>
      <c r="BC100" s="60" t="str">
        <f t="shared" si="143"/>
        <v>-0.654297058347294+10.825273768785i</v>
      </c>
      <c r="BD100" s="51">
        <f t="shared" si="144"/>
        <v>20.704614456767182</v>
      </c>
      <c r="BE100" s="63">
        <f t="shared" si="145"/>
        <v>93.458841760624168</v>
      </c>
      <c r="BF100" s="60" t="str">
        <f t="shared" si="146"/>
        <v>24.0737384963484+248.489055708039i</v>
      </c>
      <c r="BG100" s="66">
        <f t="shared" si="147"/>
        <v>47.946717338359335</v>
      </c>
      <c r="BH100" s="63">
        <f t="shared" si="148"/>
        <v>84.466426760888808</v>
      </c>
      <c r="BI100" s="60" t="e">
        <f t="shared" si="101"/>
        <v>#NUM!</v>
      </c>
      <c r="BJ100" s="66" t="e">
        <f t="shared" si="149"/>
        <v>#NUM!</v>
      </c>
      <c r="BK100" s="63" t="e">
        <f t="shared" si="102"/>
        <v>#NUM!</v>
      </c>
      <c r="BL100" s="51">
        <f t="shared" si="150"/>
        <v>47.946717338359335</v>
      </c>
      <c r="BM100" s="63">
        <f t="shared" si="151"/>
        <v>84.466426760888808</v>
      </c>
    </row>
    <row r="101" spans="14:65" x14ac:dyDescent="0.3">
      <c r="N101" s="11">
        <v>83</v>
      </c>
      <c r="O101" s="52">
        <f t="shared" si="115"/>
        <v>67.60829753919819</v>
      </c>
      <c r="P101" s="50" t="str">
        <f t="shared" si="103"/>
        <v>23.3035714285714</v>
      </c>
      <c r="Q101" s="18" t="str">
        <f t="shared" si="104"/>
        <v>1+0.161118850132037i</v>
      </c>
      <c r="R101" s="18">
        <f t="shared" si="116"/>
        <v>1.0128964823060003</v>
      </c>
      <c r="S101" s="18">
        <f t="shared" si="117"/>
        <v>0.15974599388481323</v>
      </c>
      <c r="T101" s="18" t="str">
        <f t="shared" si="105"/>
        <v>1+0.000751887967282838i</v>
      </c>
      <c r="U101" s="18">
        <f t="shared" si="118"/>
        <v>1.0000002826677177</v>
      </c>
      <c r="V101" s="18">
        <f t="shared" si="119"/>
        <v>7.51887825593229E-4</v>
      </c>
      <c r="W101" s="32" t="str">
        <f t="shared" si="106"/>
        <v>1-0.00103838890647975i</v>
      </c>
      <c r="X101" s="18">
        <f t="shared" si="120"/>
        <v>1.0000005391256153</v>
      </c>
      <c r="Y101" s="18">
        <f t="shared" si="121"/>
        <v>-1.0383885332651856E-3</v>
      </c>
      <c r="Z101" s="32" t="str">
        <f t="shared" si="107"/>
        <v>0.999999981716472+0.00050963773533808i</v>
      </c>
      <c r="AA101" s="18">
        <f t="shared" si="122"/>
        <v>1.0000001115817765</v>
      </c>
      <c r="AB101" s="18">
        <f t="shared" si="123"/>
        <v>5.0963770053321852E-4</v>
      </c>
      <c r="AC101" s="68" t="str">
        <f t="shared" si="124"/>
        <v>22.7110293181001-3.67772780852645i</v>
      </c>
      <c r="AD101" s="66">
        <f t="shared" si="125"/>
        <v>27.23715460473727</v>
      </c>
      <c r="AE101" s="63">
        <f t="shared" si="126"/>
        <v>-9.1983866144208655</v>
      </c>
      <c r="AF101" s="51" t="e">
        <f t="shared" si="127"/>
        <v>#NUM!</v>
      </c>
      <c r="AG101" s="51" t="str">
        <f t="shared" si="108"/>
        <v>1-0.225566390184852i</v>
      </c>
      <c r="AH101" s="51">
        <f t="shared" si="128"/>
        <v>1.0251244784810403</v>
      </c>
      <c r="AI101" s="51">
        <f t="shared" si="129"/>
        <v>-0.22185347524424243</v>
      </c>
      <c r="AJ101" s="51" t="str">
        <f t="shared" si="109"/>
        <v>1+0.000751887967282838i</v>
      </c>
      <c r="AK101" s="51">
        <f t="shared" si="130"/>
        <v>1.0000002826677177</v>
      </c>
      <c r="AL101" s="51">
        <f t="shared" si="131"/>
        <v>7.51887825593229E-4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-0.000170731707317073</v>
      </c>
      <c r="AT101" s="32" t="str">
        <f t="shared" si="112"/>
        <v>0.0000161422275461852i</v>
      </c>
      <c r="AU101" s="32">
        <f t="shared" si="137"/>
        <v>1.6142227546185201E-5</v>
      </c>
      <c r="AV101" s="32">
        <f t="shared" si="138"/>
        <v>1.5707963267948966</v>
      </c>
      <c r="AW101" s="32" t="str">
        <f t="shared" si="113"/>
        <v>1+0.00343681886204929i</v>
      </c>
      <c r="AX101" s="32">
        <f t="shared" si="139"/>
        <v>1.0000059058445057</v>
      </c>
      <c r="AY101" s="32">
        <f t="shared" si="140"/>
        <v>3.4368053305600344E-3</v>
      </c>
      <c r="AZ101" s="32" t="str">
        <f t="shared" si="114"/>
        <v>1+0.0652995583789366i</v>
      </c>
      <c r="BA101" s="32">
        <f t="shared" si="141"/>
        <v>1.0021297482484413</v>
      </c>
      <c r="BB101" s="32">
        <f t="shared" si="142"/>
        <v>6.5206981970478001E-2</v>
      </c>
      <c r="BC101" s="60" t="str">
        <f t="shared" si="143"/>
        <v>-0.654296710517176+10.5789616608909i</v>
      </c>
      <c r="BD101" s="51">
        <f t="shared" si="144"/>
        <v>20.505442156348082</v>
      </c>
      <c r="BE101" s="63">
        <f t="shared" si="145"/>
        <v>93.53917042124489</v>
      </c>
      <c r="BF101" s="60" t="str">
        <f t="shared" si="146"/>
        <v>24.0467897103016+242.665433642847i</v>
      </c>
      <c r="BG101" s="66">
        <f t="shared" si="147"/>
        <v>47.742596761085366</v>
      </c>
      <c r="BH101" s="63">
        <f t="shared" si="148"/>
        <v>84.340783806824035</v>
      </c>
      <c r="BI101" s="60" t="e">
        <f t="shared" si="101"/>
        <v>#NUM!</v>
      </c>
      <c r="BJ101" s="66" t="e">
        <f t="shared" si="149"/>
        <v>#NUM!</v>
      </c>
      <c r="BK101" s="63" t="e">
        <f t="shared" si="102"/>
        <v>#NUM!</v>
      </c>
      <c r="BL101" s="51">
        <f t="shared" si="150"/>
        <v>47.742596761085366</v>
      </c>
      <c r="BM101" s="63">
        <f t="shared" si="151"/>
        <v>84.340783806824035</v>
      </c>
    </row>
    <row r="102" spans="14:65" x14ac:dyDescent="0.3">
      <c r="N102" s="11">
        <v>84</v>
      </c>
      <c r="O102" s="52">
        <f t="shared" si="115"/>
        <v>69.183097091893657</v>
      </c>
      <c r="P102" s="50" t="str">
        <f t="shared" si="103"/>
        <v>23.3035714285714</v>
      </c>
      <c r="Q102" s="18" t="str">
        <f t="shared" si="104"/>
        <v>1+0.164871790264446i</v>
      </c>
      <c r="R102" s="18">
        <f t="shared" si="116"/>
        <v>1.0135002255673176</v>
      </c>
      <c r="S102" s="18">
        <f t="shared" si="117"/>
        <v>0.16340180451518313</v>
      </c>
      <c r="T102" s="18" t="str">
        <f t="shared" si="105"/>
        <v>1+0.000769401687900749i</v>
      </c>
      <c r="U102" s="18">
        <f t="shared" si="118"/>
        <v>1.000000295989435</v>
      </c>
      <c r="V102" s="18">
        <f t="shared" si="119"/>
        <v>7.6940153607759991E-4</v>
      </c>
      <c r="W102" s="32" t="str">
        <f t="shared" si="106"/>
        <v>1-0.0010625760912628i</v>
      </c>
      <c r="X102" s="18">
        <f t="shared" si="120"/>
        <v>1.0000005645338155</v>
      </c>
      <c r="Y102" s="18">
        <f t="shared" si="121"/>
        <v>-1.0625756913562013E-3</v>
      </c>
      <c r="Z102" s="32" t="str">
        <f t="shared" si="107"/>
        <v>0.999999980854796+0.000521508723173291i</v>
      </c>
      <c r="AA102" s="18">
        <f t="shared" si="122"/>
        <v>1.0000001168404635</v>
      </c>
      <c r="AB102" s="18">
        <f t="shared" si="123"/>
        <v>5.2150868587921015E-4</v>
      </c>
      <c r="AC102" s="68" t="str">
        <f t="shared" si="124"/>
        <v>22.6838426752866-3.75891078375083i</v>
      </c>
      <c r="AD102" s="66">
        <f t="shared" si="125"/>
        <v>27.231979159171303</v>
      </c>
      <c r="AE102" s="63">
        <f t="shared" si="126"/>
        <v>-9.4089116519817555</v>
      </c>
      <c r="AF102" s="51" t="e">
        <f t="shared" si="127"/>
        <v>#NUM!</v>
      </c>
      <c r="AG102" s="51" t="str">
        <f t="shared" si="108"/>
        <v>1-0.230820506370225i</v>
      </c>
      <c r="AH102" s="51">
        <f t="shared" si="128"/>
        <v>1.0262933821091351</v>
      </c>
      <c r="AI102" s="51">
        <f t="shared" si="129"/>
        <v>-0.22684753052134932</v>
      </c>
      <c r="AJ102" s="51" t="str">
        <f t="shared" si="109"/>
        <v>1+0.000769401687900749i</v>
      </c>
      <c r="AK102" s="51">
        <f t="shared" si="130"/>
        <v>1.000000295989435</v>
      </c>
      <c r="AL102" s="51">
        <f t="shared" si="131"/>
        <v>7.6940153607759991E-4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-0.000170731707317073</v>
      </c>
      <c r="AT102" s="32" t="str">
        <f t="shared" si="112"/>
        <v>0.0000165182283278127i</v>
      </c>
      <c r="AU102" s="32">
        <f t="shared" si="137"/>
        <v>1.6518228327812701E-5</v>
      </c>
      <c r="AV102" s="32">
        <f t="shared" si="138"/>
        <v>1.5707963267948966</v>
      </c>
      <c r="AW102" s="32" t="str">
        <f t="shared" si="113"/>
        <v>1+0.00351687265727335i</v>
      </c>
      <c r="AX102" s="32">
        <f t="shared" si="139"/>
        <v>1.0000061841775219</v>
      </c>
      <c r="AY102" s="32">
        <f t="shared" si="140"/>
        <v>3.516858158026227E-3</v>
      </c>
      <c r="AZ102" s="32" t="str">
        <f t="shared" si="114"/>
        <v>1+0.0668205804881938i</v>
      </c>
      <c r="BA102" s="32">
        <f t="shared" si="141"/>
        <v>1.0022300085193914</v>
      </c>
      <c r="BB102" s="32">
        <f t="shared" si="142"/>
        <v>6.6721394996206648E-2</v>
      </c>
      <c r="BC102" s="60" t="str">
        <f t="shared" si="143"/>
        <v>-0.654296346294725+10.3382586583858i</v>
      </c>
      <c r="BD102" s="51">
        <f t="shared" si="144"/>
        <v>20.306308694224953</v>
      </c>
      <c r="BE102" s="63">
        <f t="shared" si="145"/>
        <v>93.621353206906875</v>
      </c>
      <c r="BF102" s="60" t="str">
        <f t="shared" si="146"/>
        <v>24.0186365738474+236.970874535099i</v>
      </c>
      <c r="BG102" s="66">
        <f t="shared" si="147"/>
        <v>47.538287853396255</v>
      </c>
      <c r="BH102" s="63">
        <f t="shared" si="148"/>
        <v>84.212441554925121</v>
      </c>
      <c r="BI102" s="60" t="e">
        <f t="shared" si="101"/>
        <v>#NUM!</v>
      </c>
      <c r="BJ102" s="66" t="e">
        <f t="shared" si="149"/>
        <v>#NUM!</v>
      </c>
      <c r="BK102" s="63" t="e">
        <f t="shared" si="102"/>
        <v>#NUM!</v>
      </c>
      <c r="BL102" s="51">
        <f t="shared" si="150"/>
        <v>47.538287853396255</v>
      </c>
      <c r="BM102" s="63">
        <f t="shared" si="151"/>
        <v>84.212441554925121</v>
      </c>
    </row>
    <row r="103" spans="14:65" x14ac:dyDescent="0.3">
      <c r="N103" s="11">
        <v>85</v>
      </c>
      <c r="O103" s="52">
        <f t="shared" si="115"/>
        <v>70.794578438413865</v>
      </c>
      <c r="P103" s="50" t="str">
        <f t="shared" si="103"/>
        <v>23.3035714285714</v>
      </c>
      <c r="Q103" s="18" t="str">
        <f t="shared" si="104"/>
        <v>1+0.16871214760239i</v>
      </c>
      <c r="R103" s="18">
        <f t="shared" si="116"/>
        <v>1.0141320371374778</v>
      </c>
      <c r="S103" s="18">
        <f t="shared" si="117"/>
        <v>0.16713821252789293</v>
      </c>
      <c r="T103" s="18" t="str">
        <f t="shared" si="105"/>
        <v>1+0.000787323355477821i</v>
      </c>
      <c r="U103" s="18">
        <f t="shared" si="118"/>
        <v>1.0000003099389849</v>
      </c>
      <c r="V103" s="18">
        <f t="shared" si="119"/>
        <v>7.8732319279638859E-4</v>
      </c>
      <c r="W103" s="32" t="str">
        <f t="shared" si="106"/>
        <v>1-0.0010873266679543i</v>
      </c>
      <c r="X103" s="18">
        <f t="shared" si="120"/>
        <v>1.0000005911394667</v>
      </c>
      <c r="Y103" s="18">
        <f t="shared" si="121"/>
        <v>-1.0873262394466728E-3</v>
      </c>
      <c r="Z103" s="32" t="str">
        <f t="shared" si="107"/>
        <v>0.999999979952511+0.000533656221836513i</v>
      </c>
      <c r="AA103" s="18">
        <f t="shared" si="122"/>
        <v>1.0000001223469852</v>
      </c>
      <c r="AB103" s="18">
        <f t="shared" si="123"/>
        <v>5.3365618187518546E-4</v>
      </c>
      <c r="AC103" s="68" t="str">
        <f t="shared" si="124"/>
        <v>22.6554440902406-3.84167587760773i</v>
      </c>
      <c r="AD103" s="66">
        <f t="shared" si="125"/>
        <v>27.226566405375486</v>
      </c>
      <c r="AE103" s="63">
        <f t="shared" si="126"/>
        <v>-9.6240793285555224</v>
      </c>
      <c r="AF103" s="51" t="e">
        <f t="shared" si="127"/>
        <v>#NUM!</v>
      </c>
      <c r="AG103" s="51" t="str">
        <f t="shared" si="108"/>
        <v>1-0.236197006643347i</v>
      </c>
      <c r="AH103" s="51">
        <f t="shared" si="128"/>
        <v>1.0275159492422865</v>
      </c>
      <c r="AI103" s="51">
        <f t="shared" si="129"/>
        <v>-0.2319460191326764</v>
      </c>
      <c r="AJ103" s="51" t="str">
        <f t="shared" si="109"/>
        <v>1+0.000787323355477821i</v>
      </c>
      <c r="AK103" s="51">
        <f t="shared" si="130"/>
        <v>1.0000003099389849</v>
      </c>
      <c r="AL103" s="51">
        <f t="shared" si="131"/>
        <v>7.8732319279638859E-4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-0.000170731707317073</v>
      </c>
      <c r="AT103" s="32" t="str">
        <f t="shared" si="112"/>
        <v>0.0000169029872927442i</v>
      </c>
      <c r="AU103" s="32">
        <f t="shared" si="137"/>
        <v>1.69029872927442E-5</v>
      </c>
      <c r="AV103" s="32">
        <f t="shared" si="138"/>
        <v>1.5707963267948966</v>
      </c>
      <c r="AW103" s="32" t="str">
        <f t="shared" si="113"/>
        <v>1+0.00359879114493162i</v>
      </c>
      <c r="AX103" s="32">
        <f t="shared" si="139"/>
        <v>1.0000064756278855</v>
      </c>
      <c r="AY103" s="32">
        <f t="shared" si="140"/>
        <v>3.59877560871385E-3</v>
      </c>
      <c r="AZ103" s="32" t="str">
        <f t="shared" si="114"/>
        <v>1+0.0683770317537009i</v>
      </c>
      <c r="BA103" s="32">
        <f t="shared" si="141"/>
        <v>1.0023349831625386</v>
      </c>
      <c r="BB103" s="32">
        <f t="shared" si="142"/>
        <v>6.8270765951290349E-2</v>
      </c>
      <c r="BC103" s="60" t="str">
        <f t="shared" si="143"/>
        <v>-0.654295964907433+10.1030371373436i</v>
      </c>
      <c r="BD103" s="51">
        <f t="shared" si="144"/>
        <v>20.107215884465184</v>
      </c>
      <c r="BE103" s="63">
        <f t="shared" si="145"/>
        <v>93.705432099340456</v>
      </c>
      <c r="BF103" s="60" t="str">
        <f t="shared" si="146"/>
        <v>23.9892284096776+231.402386031913i</v>
      </c>
      <c r="BG103" s="66">
        <f t="shared" si="147"/>
        <v>47.333782289840656</v>
      </c>
      <c r="BH103" s="63">
        <f t="shared" si="148"/>
        <v>84.081352770784918</v>
      </c>
      <c r="BI103" s="60" t="e">
        <f t="shared" si="101"/>
        <v>#NUM!</v>
      </c>
      <c r="BJ103" s="66" t="e">
        <f t="shared" si="149"/>
        <v>#NUM!</v>
      </c>
      <c r="BK103" s="63" t="e">
        <f t="shared" si="102"/>
        <v>#NUM!</v>
      </c>
      <c r="BL103" s="51">
        <f t="shared" si="150"/>
        <v>47.333782289840656</v>
      </c>
      <c r="BM103" s="63">
        <f t="shared" si="151"/>
        <v>84.081352770784918</v>
      </c>
    </row>
    <row r="104" spans="14:65" x14ac:dyDescent="0.3">
      <c r="N104" s="11">
        <v>86</v>
      </c>
      <c r="O104" s="52">
        <f t="shared" si="115"/>
        <v>72.443596007499011</v>
      </c>
      <c r="P104" s="50" t="str">
        <f t="shared" si="103"/>
        <v>23.3035714285714</v>
      </c>
      <c r="Q104" s="18" t="str">
        <f t="shared" si="104"/>
        <v>1+0.172641958354162i</v>
      </c>
      <c r="R104" s="18">
        <f t="shared" si="116"/>
        <v>1.0147932034579066</v>
      </c>
      <c r="S104" s="18">
        <f t="shared" si="117"/>
        <v>0.17095678150102869</v>
      </c>
      <c r="T104" s="18" t="str">
        <f t="shared" si="105"/>
        <v>1+0.000805662472319421i</v>
      </c>
      <c r="U104" s="18">
        <f t="shared" si="118"/>
        <v>1.000000324545957</v>
      </c>
      <c r="V104" s="18">
        <f t="shared" si="119"/>
        <v>8.0566229800312864E-4</v>
      </c>
      <c r="W104" s="32" t="str">
        <f t="shared" si="106"/>
        <v>1-0.00111265375963762i</v>
      </c>
      <c r="X104" s="18">
        <f t="shared" si="120"/>
        <v>1.0000006189990029</v>
      </c>
      <c r="Y104" s="18">
        <f t="shared" si="121"/>
        <v>-1.1126533004834406E-3</v>
      </c>
      <c r="Z104" s="32" t="str">
        <f t="shared" si="107"/>
        <v>0.999999979007702+0.000546086672092326i</v>
      </c>
      <c r="AA104" s="18">
        <f t="shared" si="122"/>
        <v>1.0000001281130206</v>
      </c>
      <c r="AB104" s="18">
        <f t="shared" si="123"/>
        <v>5.4608662927299232E-4</v>
      </c>
      <c r="AC104" s="68" t="str">
        <f t="shared" si="124"/>
        <v>22.6257828503307-3.92603922990215i</v>
      </c>
      <c r="AD104" s="66">
        <f t="shared" si="125"/>
        <v>27.220905778366038</v>
      </c>
      <c r="AE104" s="63">
        <f t="shared" si="126"/>
        <v>-9.8439798070456046</v>
      </c>
      <c r="AF104" s="51" t="e">
        <f t="shared" si="127"/>
        <v>#NUM!</v>
      </c>
      <c r="AG104" s="51" t="str">
        <f t="shared" si="108"/>
        <v>1-0.241698741695827i</v>
      </c>
      <c r="AH104" s="51">
        <f t="shared" si="128"/>
        <v>1.0287945770353508</v>
      </c>
      <c r="AI104" s="51">
        <f t="shared" si="129"/>
        <v>-0.23715058362835031</v>
      </c>
      <c r="AJ104" s="51" t="str">
        <f t="shared" si="109"/>
        <v>1+0.000805662472319421i</v>
      </c>
      <c r="AK104" s="51">
        <f t="shared" si="130"/>
        <v>1.000000324545957</v>
      </c>
      <c r="AL104" s="51">
        <f t="shared" si="131"/>
        <v>8.0566229800312864E-4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-0.000170731707317073</v>
      </c>
      <c r="AT104" s="32" t="str">
        <f t="shared" si="112"/>
        <v>0.0000172967084452757i</v>
      </c>
      <c r="AU104" s="32">
        <f t="shared" si="137"/>
        <v>1.7296708445275702E-5</v>
      </c>
      <c r="AV104" s="32">
        <f t="shared" si="138"/>
        <v>1.5707963267948966</v>
      </c>
      <c r="AW104" s="32" t="str">
        <f t="shared" si="113"/>
        <v>1+0.00368261775929055i</v>
      </c>
      <c r="AX104" s="32">
        <f t="shared" si="139"/>
        <v>1.0000067808137909</v>
      </c>
      <c r="AY104" s="32">
        <f t="shared" si="140"/>
        <v>3.6826011119393755E-3</v>
      </c>
      <c r="AZ104" s="32" t="str">
        <f t="shared" si="114"/>
        <v>1+0.0699697374265206i</v>
      </c>
      <c r="BA104" s="32">
        <f t="shared" si="141"/>
        <v>1.0024448933260801</v>
      </c>
      <c r="BB104" s="32">
        <f t="shared" si="142"/>
        <v>6.9855886561236757E-2</v>
      </c>
      <c r="BC104" s="60" t="str">
        <f t="shared" si="143"/>
        <v>-0.654295565546392+9.87317238019183i</v>
      </c>
      <c r="BD104" s="51">
        <f t="shared" si="144"/>
        <v>19.908165625066676</v>
      </c>
      <c r="BE104" s="63">
        <f t="shared" si="145"/>
        <v>93.791449972759196</v>
      </c>
      <c r="BF104" s="60" t="str">
        <f t="shared" si="146"/>
        <v>23.9585127022325+225.957044376389i</v>
      </c>
      <c r="BG104" s="66">
        <f t="shared" si="147"/>
        <v>47.129071403432718</v>
      </c>
      <c r="BH104" s="63">
        <f t="shared" si="148"/>
        <v>83.947470165713611</v>
      </c>
      <c r="BI104" s="60" t="e">
        <f t="shared" si="101"/>
        <v>#NUM!</v>
      </c>
      <c r="BJ104" s="66" t="e">
        <f t="shared" si="149"/>
        <v>#NUM!</v>
      </c>
      <c r="BK104" s="63" t="e">
        <f t="shared" si="102"/>
        <v>#NUM!</v>
      </c>
      <c r="BL104" s="51">
        <f t="shared" si="150"/>
        <v>47.129071403432718</v>
      </c>
      <c r="BM104" s="63">
        <f t="shared" si="151"/>
        <v>83.947470165713611</v>
      </c>
    </row>
    <row r="105" spans="14:65" x14ac:dyDescent="0.3">
      <c r="N105" s="11">
        <v>87</v>
      </c>
      <c r="O105" s="52">
        <f t="shared" si="115"/>
        <v>74.131024130091816</v>
      </c>
      <c r="P105" s="50" t="str">
        <f t="shared" si="103"/>
        <v>23.3035714285714</v>
      </c>
      <c r="Q105" s="18" t="str">
        <f t="shared" si="104"/>
        <v>1+0.17666330615744i</v>
      </c>
      <c r="R105" s="18">
        <f t="shared" si="116"/>
        <v>1.0154850682026189</v>
      </c>
      <c r="S105" s="18">
        <f t="shared" si="117"/>
        <v>0.17485909042424008</v>
      </c>
      <c r="T105" s="18" t="str">
        <f t="shared" si="105"/>
        <v>1+0.000824428762068052i</v>
      </c>
      <c r="U105" s="18">
        <f t="shared" si="118"/>
        <v>1.0000003398413342</v>
      </c>
      <c r="V105" s="18">
        <f t="shared" si="119"/>
        <v>8.244285752847828E-4</v>
      </c>
      <c r="W105" s="32" t="str">
        <f t="shared" si="106"/>
        <v>1-0.00113857079507201i</v>
      </c>
      <c r="X105" s="18">
        <f t="shared" si="120"/>
        <v>1.0000006481715176</v>
      </c>
      <c r="Y105" s="18">
        <f t="shared" si="121"/>
        <v>-1.1385703030794597E-3</v>
      </c>
      <c r="Z105" s="32" t="str">
        <f t="shared" si="107"/>
        <v>0.999999978018365+0.000558806664729996i</v>
      </c>
      <c r="AA105" s="18">
        <f t="shared" si="122"/>
        <v>1.0000001341508007</v>
      </c>
      <c r="AB105" s="18">
        <f t="shared" si="123"/>
        <v>5.588066188482538E-4</v>
      </c>
      <c r="AC105" s="68" t="str">
        <f t="shared" si="124"/>
        <v>22.5948064304038-4.01201603491827i</v>
      </c>
      <c r="AD105" s="66">
        <f t="shared" si="125"/>
        <v>27.214986272374588</v>
      </c>
      <c r="AE105" s="63">
        <f t="shared" si="126"/>
        <v>-10.068704146800984</v>
      </c>
      <c r="AF105" s="51" t="e">
        <f t="shared" si="127"/>
        <v>#NUM!</v>
      </c>
      <c r="AG105" s="51" t="str">
        <f t="shared" si="108"/>
        <v>1-0.247328628620416i</v>
      </c>
      <c r="AH105" s="51">
        <f t="shared" si="128"/>
        <v>1.0301317636764995</v>
      </c>
      <c r="AI105" s="51">
        <f t="shared" si="129"/>
        <v>-0.24246285521351377</v>
      </c>
      <c r="AJ105" s="51" t="str">
        <f t="shared" si="109"/>
        <v>1+0.000824428762068052i</v>
      </c>
      <c r="AK105" s="51">
        <f t="shared" si="130"/>
        <v>1.0000003398413342</v>
      </c>
      <c r="AL105" s="51">
        <f t="shared" si="131"/>
        <v>8.244285752847828E-4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-0.000170731707317073</v>
      </c>
      <c r="AT105" s="32" t="str">
        <f t="shared" si="112"/>
        <v>0.000017699600541574i</v>
      </c>
      <c r="AU105" s="32">
        <f t="shared" si="137"/>
        <v>1.7699600541574E-5</v>
      </c>
      <c r="AV105" s="32">
        <f t="shared" si="138"/>
        <v>1.5707963267948966</v>
      </c>
      <c r="AW105" s="32" t="str">
        <f t="shared" si="113"/>
        <v>1+0.00376839694633068i</v>
      </c>
      <c r="AX105" s="32">
        <f t="shared" si="139"/>
        <v>1.0000071003825648</v>
      </c>
      <c r="AY105" s="32">
        <f t="shared" si="140"/>
        <v>3.7683791083793559E-3</v>
      </c>
      <c r="AZ105" s="32" t="str">
        <f t="shared" si="114"/>
        <v>1+0.071599541980283i</v>
      </c>
      <c r="BA105" s="32">
        <f t="shared" si="141"/>
        <v>1.0025599704814603</v>
      </c>
      <c r="BB105" s="32">
        <f t="shared" si="142"/>
        <v>7.1477565397785409E-2</v>
      </c>
      <c r="BC105" s="60" t="str">
        <f t="shared" si="143"/>
        <v>-0.654295147364564+9.64854250958419i</v>
      </c>
      <c r="BD105" s="51">
        <f t="shared" si="144"/>
        <v>19.709159901763641</v>
      </c>
      <c r="BE105" s="63">
        <f t="shared" si="145"/>
        <v>93.879450608648028</v>
      </c>
      <c r="BF105" s="60" t="str">
        <f t="shared" si="146"/>
        <v>23.9264350589875+220.631992962373i</v>
      </c>
      <c r="BG105" s="66">
        <f t="shared" si="147"/>
        <v>46.92414617413823</v>
      </c>
      <c r="BH105" s="63">
        <f t="shared" si="148"/>
        <v>83.810746461847032</v>
      </c>
      <c r="BI105" s="60" t="e">
        <f t="shared" si="101"/>
        <v>#NUM!</v>
      </c>
      <c r="BJ105" s="66" t="e">
        <f t="shared" si="149"/>
        <v>#NUM!</v>
      </c>
      <c r="BK105" s="63" t="e">
        <f t="shared" si="102"/>
        <v>#NUM!</v>
      </c>
      <c r="BL105" s="51">
        <f t="shared" si="150"/>
        <v>46.92414617413823</v>
      </c>
      <c r="BM105" s="63">
        <f t="shared" si="151"/>
        <v>83.810746461847032</v>
      </c>
    </row>
    <row r="106" spans="14:65" x14ac:dyDescent="0.3">
      <c r="N106" s="11">
        <v>88</v>
      </c>
      <c r="O106" s="52">
        <f t="shared" si="115"/>
        <v>75.857757502918361</v>
      </c>
      <c r="P106" s="50" t="str">
        <f t="shared" si="103"/>
        <v>23.3035714285714</v>
      </c>
      <c r="Q106" s="18" t="str">
        <f t="shared" si="104"/>
        <v>1+0.180778323184057i</v>
      </c>
      <c r="R106" s="18">
        <f t="shared" si="116"/>
        <v>1.0162090346642463</v>
      </c>
      <c r="S106" s="18">
        <f t="shared" si="117"/>
        <v>0.17884673272113366</v>
      </c>
      <c r="T106" s="18" t="str">
        <f t="shared" si="105"/>
        <v>1+0.000843632174858935i</v>
      </c>
      <c r="U106" s="18">
        <f t="shared" si="118"/>
        <v>1.0000003558575599</v>
      </c>
      <c r="V106" s="18">
        <f t="shared" si="119"/>
        <v>8.4363197471706006E-4</v>
      </c>
      <c r="W106" s="32" t="str">
        <f t="shared" si="106"/>
        <v>1-0.00116509151581272i</v>
      </c>
      <c r="X106" s="18">
        <f t="shared" si="120"/>
        <v>1.0000006787188898</v>
      </c>
      <c r="Y106" s="18">
        <f t="shared" si="121"/>
        <v>-1.1650909886332238E-3</v>
      </c>
      <c r="Z106" s="32" t="str">
        <f t="shared" si="107"/>
        <v>0.999999976982403+0.000571822944057986i</v>
      </c>
      <c r="AA106" s="18">
        <f t="shared" si="122"/>
        <v>1.0000001404731331</v>
      </c>
      <c r="AB106" s="18">
        <f t="shared" si="123"/>
        <v>5.7182289489481357E-4</v>
      </c>
      <c r="AC106" s="68" t="str">
        <f t="shared" si="124"/>
        <v>22.5624604574161-4.09962044300989i</v>
      </c>
      <c r="AD106" s="66">
        <f t="shared" si="125"/>
        <v>27.20879642521734</v>
      </c>
      <c r="AE106" s="63">
        <f t="shared" si="126"/>
        <v>-10.298344247915489</v>
      </c>
      <c r="AF106" s="51" t="e">
        <f t="shared" si="127"/>
        <v>#NUM!</v>
      </c>
      <c r="AG106" s="51" t="str">
        <f t="shared" si="108"/>
        <v>1-0.253089652457681i</v>
      </c>
      <c r="AH106" s="51">
        <f t="shared" si="128"/>
        <v>1.0315301121058704</v>
      </c>
      <c r="AI106" s="51">
        <f t="shared" si="129"/>
        <v>-0.24788445069704571</v>
      </c>
      <c r="AJ106" s="51" t="str">
        <f t="shared" si="109"/>
        <v>1+0.000843632174858935i</v>
      </c>
      <c r="AK106" s="51">
        <f t="shared" si="130"/>
        <v>1.0000003558575599</v>
      </c>
      <c r="AL106" s="51">
        <f t="shared" si="131"/>
        <v>8.4363197471706006E-4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-0.000170731707317073</v>
      </c>
      <c r="AT106" s="32" t="str">
        <f t="shared" si="112"/>
        <v>0.0000181118772003613i</v>
      </c>
      <c r="AU106" s="32">
        <f t="shared" si="137"/>
        <v>1.8111877200361299E-5</v>
      </c>
      <c r="AV106" s="32">
        <f t="shared" si="138"/>
        <v>1.5707963267948966</v>
      </c>
      <c r="AW106" s="32" t="str">
        <f t="shared" si="113"/>
        <v>1+0.00385617418731238i</v>
      </c>
      <c r="AX106" s="32">
        <f t="shared" si="139"/>
        <v>1.0000074350120418</v>
      </c>
      <c r="AY106" s="32">
        <f t="shared" si="140"/>
        <v>3.8561550736108457E-3</v>
      </c>
      <c r="AZ106" s="32" t="str">
        <f t="shared" si="114"/>
        <v>1+0.0732673095589353i</v>
      </c>
      <c r="BA106" s="32">
        <f t="shared" si="141"/>
        <v>1.0026804569004051</v>
      </c>
      <c r="BB106" s="32">
        <f t="shared" si="142"/>
        <v>7.3136628159292644E-2</v>
      </c>
      <c r="BC106" s="60" t="str">
        <f t="shared" si="143"/>
        <v>-0.654294709475008+9.42902842378013i</v>
      </c>
      <c r="BD106" s="51">
        <f t="shared" si="144"/>
        <v>19.510200791998578</v>
      </c>
      <c r="BE106" s="63">
        <f t="shared" si="145"/>
        <v>93.969478710479251</v>
      </c>
      <c r="BF106" s="60" t="str">
        <f t="shared" si="146"/>
        <v>23.8929391738239+215.424440930109i</v>
      </c>
      <c r="BG106" s="66">
        <f t="shared" si="147"/>
        <v>46.718997217215936</v>
      </c>
      <c r="BH106" s="63">
        <f t="shared" si="148"/>
        <v>83.671134462563799</v>
      </c>
      <c r="BI106" s="60" t="e">
        <f t="shared" si="101"/>
        <v>#NUM!</v>
      </c>
      <c r="BJ106" s="66" t="e">
        <f t="shared" si="149"/>
        <v>#NUM!</v>
      </c>
      <c r="BK106" s="63" t="e">
        <f t="shared" si="102"/>
        <v>#NUM!</v>
      </c>
      <c r="BL106" s="51">
        <f t="shared" si="150"/>
        <v>46.718997217215936</v>
      </c>
      <c r="BM106" s="63">
        <f t="shared" si="151"/>
        <v>83.671134462563799</v>
      </c>
    </row>
    <row r="107" spans="14:65" x14ac:dyDescent="0.3">
      <c r="N107" s="11">
        <v>89</v>
      </c>
      <c r="O107" s="52">
        <f t="shared" si="115"/>
        <v>77.624711662869217</v>
      </c>
      <c r="P107" s="50" t="str">
        <f t="shared" si="103"/>
        <v>23.3035714285714</v>
      </c>
      <c r="Q107" s="18" t="str">
        <f t="shared" si="104"/>
        <v>1+0.184989191270511i</v>
      </c>
      <c r="R107" s="18">
        <f t="shared" si="116"/>
        <v>1.0169665682247955</v>
      </c>
      <c r="S107" s="18">
        <f t="shared" si="117"/>
        <v>0.18292131517209051</v>
      </c>
      <c r="T107" s="18" t="str">
        <f t="shared" si="105"/>
        <v>1+0.00086328289259572i</v>
      </c>
      <c r="U107" s="18">
        <f t="shared" si="118"/>
        <v>1.0000003726286069</v>
      </c>
      <c r="V107" s="18">
        <f t="shared" si="119"/>
        <v>8.6328267813984153E-4</v>
      </c>
      <c r="W107" s="32" t="str">
        <f t="shared" si="106"/>
        <v>1-0.00119222998349691i</v>
      </c>
      <c r="X107" s="18">
        <f t="shared" si="120"/>
        <v>1.0000007107059143</v>
      </c>
      <c r="Y107" s="18">
        <f t="shared" si="121"/>
        <v>-1.1922294186139241E-3</v>
      </c>
      <c r="Z107" s="32" t="str">
        <f t="shared" si="107"/>
        <v>0.999999975897617+0.000585142411479887i</v>
      </c>
      <c r="AA107" s="18">
        <f t="shared" si="122"/>
        <v>1.0000001470934272</v>
      </c>
      <c r="AB107" s="18">
        <f t="shared" si="123"/>
        <v>5.8514235880059912E-4</v>
      </c>
      <c r="AC107" s="68" t="str">
        <f t="shared" si="124"/>
        <v>22.5286886774499-4.18886545642054i</v>
      </c>
      <c r="AD107" s="66">
        <f t="shared" si="125"/>
        <v>27.20232430237256</v>
      </c>
      <c r="AE107" s="63">
        <f t="shared" si="126"/>
        <v>-10.532992789830516</v>
      </c>
      <c r="AF107" s="51" t="e">
        <f t="shared" si="127"/>
        <v>#NUM!</v>
      </c>
      <c r="AG107" s="51" t="str">
        <f t="shared" si="108"/>
        <v>1-0.258984867778717i</v>
      </c>
      <c r="AH107" s="51">
        <f t="shared" si="128"/>
        <v>1.0329923338236153</v>
      </c>
      <c r="AI107" s="51">
        <f t="shared" si="129"/>
        <v>-0.25341696924981899</v>
      </c>
      <c r="AJ107" s="51" t="str">
        <f t="shared" si="109"/>
        <v>1+0.00086328289259572i</v>
      </c>
      <c r="AK107" s="51">
        <f t="shared" si="130"/>
        <v>1.0000003726286069</v>
      </c>
      <c r="AL107" s="51">
        <f t="shared" si="131"/>
        <v>8.6328267813984153E-4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-0.000170731707317073</v>
      </c>
      <c r="AT107" s="32" t="str">
        <f t="shared" si="112"/>
        <v>0.0000185337570161793i</v>
      </c>
      <c r="AU107" s="32">
        <f t="shared" si="137"/>
        <v>1.8533757016179299E-5</v>
      </c>
      <c r="AV107" s="32">
        <f t="shared" si="138"/>
        <v>1.5707963267948966</v>
      </c>
      <c r="AW107" s="32" t="str">
        <f t="shared" si="113"/>
        <v>1+0.00394599602289069i</v>
      </c>
      <c r="AX107" s="32">
        <f t="shared" si="139"/>
        <v>1.000007785412</v>
      </c>
      <c r="AY107" s="32">
        <f t="shared" si="140"/>
        <v>3.9459755421991129E-3</v>
      </c>
      <c r="AZ107" s="32" t="str">
        <f t="shared" si="114"/>
        <v>1+0.0749739244349232i</v>
      </c>
      <c r="BA107" s="32">
        <f t="shared" si="141"/>
        <v>1.0028066061535363</v>
      </c>
      <c r="BB107" s="32">
        <f t="shared" si="142"/>
        <v>7.4833917949890846E-2</v>
      </c>
      <c r="BC107" s="60" t="str">
        <f t="shared" si="143"/>
        <v>-0.654294250948979+9.21451373349509i</v>
      </c>
      <c r="BD107" s="51">
        <f t="shared" si="144"/>
        <v>19.311290469065071</v>
      </c>
      <c r="BE107" s="63">
        <f t="shared" si="145"/>
        <v>94.061579918327169</v>
      </c>
      <c r="BF107" s="60" t="str">
        <f t="shared" si="146"/>
        <v>23.8579667928754+210.331661802132i</v>
      </c>
      <c r="BG107" s="66">
        <f t="shared" si="147"/>
        <v>46.513614771437624</v>
      </c>
      <c r="BH107" s="63">
        <f t="shared" si="148"/>
        <v>83.528587128496667</v>
      </c>
      <c r="BI107" s="60" t="e">
        <f t="shared" si="101"/>
        <v>#NUM!</v>
      </c>
      <c r="BJ107" s="66" t="e">
        <f t="shared" si="149"/>
        <v>#NUM!</v>
      </c>
      <c r="BK107" s="63" t="e">
        <f t="shared" si="102"/>
        <v>#NUM!</v>
      </c>
      <c r="BL107" s="51">
        <f t="shared" si="150"/>
        <v>46.513614771437624</v>
      </c>
      <c r="BM107" s="63">
        <f t="shared" si="151"/>
        <v>83.528587128496667</v>
      </c>
    </row>
    <row r="108" spans="14:65" x14ac:dyDescent="0.3">
      <c r="N108" s="11">
        <v>90</v>
      </c>
      <c r="O108" s="52">
        <f t="shared" si="115"/>
        <v>79.432823472428197</v>
      </c>
      <c r="P108" s="50" t="str">
        <f t="shared" si="103"/>
        <v>23.3035714285714</v>
      </c>
      <c r="Q108" s="18" t="str">
        <f t="shared" si="104"/>
        <v>1+0.189298143074798i</v>
      </c>
      <c r="R108" s="18">
        <f t="shared" si="116"/>
        <v>1.0177591989127717</v>
      </c>
      <c r="S108" s="18">
        <f t="shared" si="117"/>
        <v>0.18708445673172899</v>
      </c>
      <c r="T108" s="18" t="str">
        <f t="shared" si="105"/>
        <v>1+0.00088339133434906i</v>
      </c>
      <c r="U108" s="18">
        <f t="shared" si="118"/>
        <v>1.0000003901900487</v>
      </c>
      <c r="V108" s="18">
        <f t="shared" si="119"/>
        <v>8.8339110455545097E-4</v>
      </c>
      <c r="W108" s="32" t="str">
        <f t="shared" si="106"/>
        <v>1-0.00122000058729939i</v>
      </c>
      <c r="X108" s="18">
        <f t="shared" si="120"/>
        <v>1.0000007442004395</v>
      </c>
      <c r="Y108" s="18">
        <f t="shared" si="121"/>
        <v>-1.2199999820163899E-3</v>
      </c>
      <c r="Z108" s="32" t="str">
        <f t="shared" si="107"/>
        <v>0.999999974761706+0.00059877212915363i</v>
      </c>
      <c r="AA108" s="18">
        <f t="shared" si="122"/>
        <v>1.0000001540257257</v>
      </c>
      <c r="AB108" s="18">
        <f t="shared" si="123"/>
        <v>5.9877207270675687E-4</v>
      </c>
      <c r="AC108" s="68" t="str">
        <f t="shared" si="124"/>
        <v>22.4934329255148-4.27976281915372i</v>
      </c>
      <c r="AD108" s="66">
        <f t="shared" si="125"/>
        <v>27.195557480787542</v>
      </c>
      <c r="AE108" s="63">
        <f t="shared" si="126"/>
        <v>-10.772743163907435</v>
      </c>
      <c r="AF108" s="51" t="e">
        <f t="shared" si="127"/>
        <v>#NUM!</v>
      </c>
      <c r="AG108" s="51" t="str">
        <f t="shared" si="108"/>
        <v>1-0.265017400304718i</v>
      </c>
      <c r="AH108" s="51">
        <f t="shared" si="128"/>
        <v>1.0345212527852055</v>
      </c>
      <c r="AI108" s="51">
        <f t="shared" si="129"/>
        <v>-0.25906198896726101</v>
      </c>
      <c r="AJ108" s="51" t="str">
        <f t="shared" si="109"/>
        <v>1+0.00088339133434906i</v>
      </c>
      <c r="AK108" s="51">
        <f t="shared" si="130"/>
        <v>1.0000003901900487</v>
      </c>
      <c r="AL108" s="51">
        <f t="shared" si="131"/>
        <v>8.8339110455545097E-4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-0.000170731707317073</v>
      </c>
      <c r="AT108" s="32" t="str">
        <f t="shared" si="112"/>
        <v>0.0000189654636752905i</v>
      </c>
      <c r="AU108" s="32">
        <f t="shared" si="137"/>
        <v>1.8965463675290501E-5</v>
      </c>
      <c r="AV108" s="32">
        <f t="shared" si="138"/>
        <v>1.5707963267948966</v>
      </c>
      <c r="AW108" s="32" t="str">
        <f t="shared" si="113"/>
        <v>1+0.00403791007779177i</v>
      </c>
      <c r="AX108" s="32">
        <f t="shared" si="139"/>
        <v>1.0000081523256679</v>
      </c>
      <c r="AY108" s="32">
        <f t="shared" si="140"/>
        <v>4.0378881323450229E-3</v>
      </c>
      <c r="AZ108" s="32" t="str">
        <f t="shared" si="114"/>
        <v>1+0.0767202914780438i</v>
      </c>
      <c r="BA108" s="32">
        <f t="shared" si="141"/>
        <v>1.0029386836314951</v>
      </c>
      <c r="BB108" s="32">
        <f t="shared" si="142"/>
        <v>7.6570295556865522E-2</v>
      </c>
      <c r="BC108" s="60" t="str">
        <f t="shared" si="143"/>
        <v>-0.654293770813976+9.0048847001895i</v>
      </c>
      <c r="BD108" s="51">
        <f t="shared" si="144"/>
        <v>19.112431206429413</v>
      </c>
      <c r="BE108" s="63">
        <f t="shared" si="145"/>
        <v>94.155800823348372</v>
      </c>
      <c r="BF108" s="60" t="str">
        <f t="shared" si="146"/>
        <v>23.8214576832509+205.350992158841i</v>
      </c>
      <c r="BG108" s="66">
        <f t="shared" si="147"/>
        <v>46.307988687216977</v>
      </c>
      <c r="BH108" s="63">
        <f t="shared" si="148"/>
        <v>83.383057659440965</v>
      </c>
      <c r="BI108" s="60" t="e">
        <f t="shared" si="101"/>
        <v>#NUM!</v>
      </c>
      <c r="BJ108" s="66" t="e">
        <f t="shared" si="149"/>
        <v>#NUM!</v>
      </c>
      <c r="BK108" s="63" t="e">
        <f t="shared" si="102"/>
        <v>#NUM!</v>
      </c>
      <c r="BL108" s="51">
        <f t="shared" si="150"/>
        <v>46.307988687216977</v>
      </c>
      <c r="BM108" s="63">
        <f t="shared" si="151"/>
        <v>83.383057659440965</v>
      </c>
    </row>
    <row r="109" spans="14:65" x14ac:dyDescent="0.3">
      <c r="N109" s="11">
        <v>91</v>
      </c>
      <c r="O109" s="52">
        <f t="shared" si="115"/>
        <v>81.283051616409963</v>
      </c>
      <c r="P109" s="50" t="str">
        <f t="shared" si="103"/>
        <v>23.3035714285714</v>
      </c>
      <c r="Q109" s="18" t="str">
        <f t="shared" si="104"/>
        <v>1+0.193707463260201i</v>
      </c>
      <c r="R109" s="18">
        <f t="shared" si="116"/>
        <v>1.0185885240482055</v>
      </c>
      <c r="S109" s="18">
        <f t="shared" si="117"/>
        <v>0.1913377872351002</v>
      </c>
      <c r="T109" s="18" t="str">
        <f t="shared" si="105"/>
        <v>1+0.000903968161880937i</v>
      </c>
      <c r="U109" s="18">
        <f t="shared" si="118"/>
        <v>1.0000004085791354</v>
      </c>
      <c r="V109" s="18">
        <f t="shared" si="119"/>
        <v>9.0396791565265416E-4</v>
      </c>
      <c r="W109" s="32" t="str">
        <f t="shared" si="106"/>
        <v>1-0.00124841805156187i</v>
      </c>
      <c r="X109" s="18">
        <f t="shared" si="120"/>
        <v>1.0000007792735122</v>
      </c>
      <c r="Y109" s="18">
        <f t="shared" si="121"/>
        <v>-1.2484174029894774E-3</v>
      </c>
      <c r="Z109" s="32" t="str">
        <f t="shared" si="107"/>
        <v>0.999999973572262+0.000612719323735936i</v>
      </c>
      <c r="AA109" s="18">
        <f t="shared" si="122"/>
        <v>1.0000001612847342</v>
      </c>
      <c r="AB109" s="18">
        <f t="shared" si="123"/>
        <v>6.1271926325202214E-4</v>
      </c>
      <c r="AC109" s="68" t="str">
        <f t="shared" si="124"/>
        <v>22.4566330985687-4.37232290072948i</v>
      </c>
      <c r="AD109" s="66">
        <f t="shared" si="125"/>
        <v>27.188483032441745</v>
      </c>
      <c r="AE109" s="63">
        <f t="shared" si="126"/>
        <v>-11.017689399633921</v>
      </c>
      <c r="AF109" s="51" t="e">
        <f t="shared" si="127"/>
        <v>#NUM!</v>
      </c>
      <c r="AG109" s="51" t="str">
        <f t="shared" si="108"/>
        <v>1-0.271190448564281i</v>
      </c>
      <c r="AH109" s="51">
        <f t="shared" si="128"/>
        <v>1.0361198093813746</v>
      </c>
      <c r="AI109" s="51">
        <f t="shared" si="129"/>
        <v>-0.26482106323148785</v>
      </c>
      <c r="AJ109" s="51" t="str">
        <f t="shared" si="109"/>
        <v>1+0.000903968161880937i</v>
      </c>
      <c r="AK109" s="51">
        <f t="shared" si="130"/>
        <v>1.0000004085791354</v>
      </c>
      <c r="AL109" s="51">
        <f t="shared" si="131"/>
        <v>9.0396791565265416E-4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-0.000170731707317073</v>
      </c>
      <c r="AT109" s="32" t="str">
        <f t="shared" si="112"/>
        <v>0.00001940722607428i</v>
      </c>
      <c r="AU109" s="32">
        <f t="shared" si="137"/>
        <v>1.9407226074279999E-5</v>
      </c>
      <c r="AV109" s="32">
        <f t="shared" si="138"/>
        <v>1.5707963267948966</v>
      </c>
      <c r="AW109" s="32" t="str">
        <f t="shared" si="113"/>
        <v>1+0.00413196508606415i</v>
      </c>
      <c r="AX109" s="32">
        <f t="shared" si="139"/>
        <v>1.0000085365313001</v>
      </c>
      <c r="AY109" s="32">
        <f t="shared" si="140"/>
        <v>4.1319415711051398E-3</v>
      </c>
      <c r="AZ109" s="32" t="str">
        <f t="shared" si="114"/>
        <v>1+0.078507336635219i</v>
      </c>
      <c r="BA109" s="32">
        <f t="shared" si="141"/>
        <v>1.0030769670895427</v>
      </c>
      <c r="BB109" s="32">
        <f t="shared" si="142"/>
        <v>7.8346639725650397E-2</v>
      </c>
      <c r="BC109" s="60" t="str">
        <f t="shared" si="143"/>
        <v>-0.65429326805166+8.80003017576288i</v>
      </c>
      <c r="BD109" s="51">
        <f t="shared" si="144"/>
        <v>18.913625382236994</v>
      </c>
      <c r="BE109" s="63">
        <f t="shared" si="145"/>
        <v>94.25218898209279</v>
      </c>
      <c r="BF109" s="60" t="str">
        <f t="shared" si="146"/>
        <v>23.7833496050989+200.479830353135i</v>
      </c>
      <c r="BG109" s="66">
        <f t="shared" si="147"/>
        <v>46.102108414678717</v>
      </c>
      <c r="BH109" s="63">
        <f t="shared" si="148"/>
        <v>83.234499582458866</v>
      </c>
      <c r="BI109" s="60" t="e">
        <f t="shared" si="101"/>
        <v>#NUM!</v>
      </c>
      <c r="BJ109" s="66" t="e">
        <f t="shared" si="149"/>
        <v>#NUM!</v>
      </c>
      <c r="BK109" s="63" t="e">
        <f t="shared" si="102"/>
        <v>#NUM!</v>
      </c>
      <c r="BL109" s="51">
        <f t="shared" si="150"/>
        <v>46.102108414678717</v>
      </c>
      <c r="BM109" s="63">
        <f t="shared" si="151"/>
        <v>83.234499582458866</v>
      </c>
    </row>
    <row r="110" spans="14:65" x14ac:dyDescent="0.3">
      <c r="N110" s="11">
        <v>92</v>
      </c>
      <c r="O110" s="52">
        <f t="shared" si="115"/>
        <v>83.176377110267126</v>
      </c>
      <c r="P110" s="50" t="str">
        <f t="shared" si="103"/>
        <v>23.3035714285714</v>
      </c>
      <c r="Q110" s="18" t="str">
        <f t="shared" si="104"/>
        <v>1+0.198219489706645i</v>
      </c>
      <c r="R110" s="18">
        <f t="shared" si="116"/>
        <v>1.0194562109769909</v>
      </c>
      <c r="S110" s="18">
        <f t="shared" si="117"/>
        <v>0.19568294598651143</v>
      </c>
      <c r="T110" s="18" t="str">
        <f t="shared" si="105"/>
        <v>1+0.000925024285297677i</v>
      </c>
      <c r="U110" s="18">
        <f t="shared" si="118"/>
        <v>1.0000004278348726</v>
      </c>
      <c r="V110" s="18">
        <f t="shared" si="119"/>
        <v>9.2502402145932443E-4</v>
      </c>
      <c r="W110" s="32" t="str">
        <f t="shared" si="106"/>
        <v>1-0.00127749744360006i</v>
      </c>
      <c r="X110" s="18">
        <f t="shared" si="120"/>
        <v>1.0000008159995264</v>
      </c>
      <c r="Y110" s="18">
        <f t="shared" si="121"/>
        <v>-1.277496748642251E-3</v>
      </c>
      <c r="Z110" s="32" t="str">
        <f t="shared" si="107"/>
        <v>0.999999972326761+0.000626991390213986i</v>
      </c>
      <c r="AA110" s="18">
        <f t="shared" si="122"/>
        <v>1.0000001688858489</v>
      </c>
      <c r="AB110" s="18">
        <f t="shared" si="123"/>
        <v>6.2699132540430542E-4</v>
      </c>
      <c r="AC110" s="68" t="str">
        <f t="shared" si="124"/>
        <v>22.4182271322251-4.46655457367471i</v>
      </c>
      <c r="AD110" s="66">
        <f t="shared" si="125"/>
        <v>27.181087507694528</v>
      </c>
      <c r="AE110" s="63">
        <f t="shared" si="126"/>
        <v>-11.267926084111631</v>
      </c>
      <c r="AF110" s="51" t="e">
        <f t="shared" si="127"/>
        <v>#NUM!</v>
      </c>
      <c r="AG110" s="51" t="str">
        <f t="shared" si="108"/>
        <v>1-0.277507285589304i</v>
      </c>
      <c r="AH110" s="51">
        <f t="shared" si="128"/>
        <v>1.0377910644995665</v>
      </c>
      <c r="AI110" s="51">
        <f t="shared" si="129"/>
        <v>-0.27069571686881927</v>
      </c>
      <c r="AJ110" s="51" t="str">
        <f t="shared" si="109"/>
        <v>1+0.000925024285297677i</v>
      </c>
      <c r="AK110" s="51">
        <f t="shared" si="130"/>
        <v>1.0000004278348726</v>
      </c>
      <c r="AL110" s="51">
        <f t="shared" si="131"/>
        <v>9.2502402145932443E-4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-0.000170731707317073</v>
      </c>
      <c r="AT110" s="32" t="str">
        <f t="shared" si="112"/>
        <v>0.000019859278441419i</v>
      </c>
      <c r="AU110" s="32">
        <f t="shared" si="137"/>
        <v>1.9859278441419001E-5</v>
      </c>
      <c r="AV110" s="32">
        <f t="shared" si="138"/>
        <v>1.5707963267948966</v>
      </c>
      <c r="AW110" s="32" t="str">
        <f t="shared" si="113"/>
        <v>1+0.00422821091691819i</v>
      </c>
      <c r="AX110" s="32">
        <f t="shared" si="139"/>
        <v>1.0000089388438276</v>
      </c>
      <c r="AY110" s="32">
        <f t="shared" si="140"/>
        <v>4.2281857201978135E-3</v>
      </c>
      <c r="AZ110" s="32" t="str">
        <f t="shared" si="114"/>
        <v>1+0.0803360074214457i</v>
      </c>
      <c r="BA110" s="32">
        <f t="shared" si="141"/>
        <v>1.0032217472166454</v>
      </c>
      <c r="BB110" s="32">
        <f t="shared" si="142"/>
        <v>8.0163847431792418E-2</v>
      </c>
      <c r="BC110" s="60" t="str">
        <f t="shared" si="143"/>
        <v>-0.654292741595716+8.59984154362179i</v>
      </c>
      <c r="BD110" s="51">
        <f t="shared" si="144"/>
        <v>18.714875484011202</v>
      </c>
      <c r="BE110" s="63">
        <f t="shared" si="145"/>
        <v>94.350792930607525</v>
      </c>
      <c r="BF110" s="60" t="str">
        <f t="shared" si="146"/>
        <v>23.7435782874827+195.715635263555i</v>
      </c>
      <c r="BG110" s="66">
        <f t="shared" si="147"/>
        <v>45.895962991705723</v>
      </c>
      <c r="BH110" s="63">
        <f t="shared" si="148"/>
        <v>83.082866846495889</v>
      </c>
      <c r="BI110" s="60" t="e">
        <f t="shared" si="101"/>
        <v>#NUM!</v>
      </c>
      <c r="BJ110" s="66" t="e">
        <f t="shared" si="149"/>
        <v>#NUM!</v>
      </c>
      <c r="BK110" s="63" t="e">
        <f t="shared" si="102"/>
        <v>#NUM!</v>
      </c>
      <c r="BL110" s="51">
        <f t="shared" si="150"/>
        <v>45.895962991705723</v>
      </c>
      <c r="BM110" s="63">
        <f t="shared" si="151"/>
        <v>83.082866846495889</v>
      </c>
    </row>
    <row r="111" spans="14:65" x14ac:dyDescent="0.3">
      <c r="N111" s="11">
        <v>93</v>
      </c>
      <c r="O111" s="52">
        <f t="shared" si="115"/>
        <v>85.113803820237734</v>
      </c>
      <c r="P111" s="50" t="str">
        <f t="shared" si="103"/>
        <v>23.3035714285714</v>
      </c>
      <c r="Q111" s="18" t="str">
        <f t="shared" si="104"/>
        <v>1+0.202836614750277i</v>
      </c>
      <c r="R111" s="18">
        <f t="shared" si="116"/>
        <v>1.0203639998957981</v>
      </c>
      <c r="S111" s="18">
        <f t="shared" si="117"/>
        <v>0.20012158022476625</v>
      </c>
      <c r="T111" s="18" t="str">
        <f t="shared" si="105"/>
        <v>1+0.000946570868834627i</v>
      </c>
      <c r="U111" s="18">
        <f t="shared" si="118"/>
        <v>1.0000004479981046</v>
      </c>
      <c r="V111" s="18">
        <f t="shared" si="119"/>
        <v>9.4657058612674554E-4</v>
      </c>
      <c r="W111" s="32" t="str">
        <f t="shared" si="106"/>
        <v>1-0.00130725418169252i</v>
      </c>
      <c r="X111" s="18">
        <f t="shared" si="120"/>
        <v>1.0000008544563828</v>
      </c>
      <c r="Y111" s="18">
        <f t="shared" si="121"/>
        <v>-1.3072534370318458E-3</v>
      </c>
      <c r="Z111" s="32" t="str">
        <f t="shared" si="107"/>
        <v>0.999999971022562+0.00064159589582634i</v>
      </c>
      <c r="AA111" s="18">
        <f t="shared" si="122"/>
        <v>1.0000001768451936</v>
      </c>
      <c r="AB111" s="18">
        <f t="shared" si="123"/>
        <v>6.4159582638151629E-4</v>
      </c>
      <c r="AC111" s="68" t="str">
        <f t="shared" si="124"/>
        <v>22.3781509816525-4.56246508461642i</v>
      </c>
      <c r="AD111" s="66">
        <f t="shared" si="125"/>
        <v>27.173356918451852</v>
      </c>
      <c r="AE111" s="63">
        <f t="shared" si="126"/>
        <v>-11.523548274472319</v>
      </c>
      <c r="AF111" s="51" t="e">
        <f t="shared" si="127"/>
        <v>#NUM!</v>
      </c>
      <c r="AG111" s="51" t="str">
        <f t="shared" si="108"/>
        <v>1-0.283971260650389i</v>
      </c>
      <c r="AH111" s="51">
        <f t="shared" si="128"/>
        <v>1.0395382036632281</v>
      </c>
      <c r="AI111" s="51">
        <f t="shared" si="129"/>
        <v>-0.2766874420991744</v>
      </c>
      <c r="AJ111" s="51" t="str">
        <f t="shared" si="109"/>
        <v>1+0.000946570868834627i</v>
      </c>
      <c r="AK111" s="51">
        <f t="shared" si="130"/>
        <v>1.0000004479981046</v>
      </c>
      <c r="AL111" s="51">
        <f t="shared" si="131"/>
        <v>9.4657058612674554E-4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-0.000170731707317073</v>
      </c>
      <c r="AT111" s="32" t="str">
        <f t="shared" si="112"/>
        <v>0.0000203218604608564i</v>
      </c>
      <c r="AU111" s="32">
        <f t="shared" si="137"/>
        <v>2.03218604608564E-5</v>
      </c>
      <c r="AV111" s="32">
        <f t="shared" si="138"/>
        <v>1.5707963267948966</v>
      </c>
      <c r="AW111" s="32" t="str">
        <f t="shared" si="113"/>
        <v>1+0.00432669860116737i</v>
      </c>
      <c r="AX111" s="32">
        <f t="shared" si="139"/>
        <v>1.0000093601165867</v>
      </c>
      <c r="AY111" s="32">
        <f t="shared" si="140"/>
        <v>4.3266716024087061E-3</v>
      </c>
      <c r="AZ111" s="32" t="str">
        <f t="shared" si="114"/>
        <v>1+0.0822072734221801i</v>
      </c>
      <c r="BA111" s="32">
        <f t="shared" si="141"/>
        <v>1.0033733282300805</v>
      </c>
      <c r="BB111" s="32">
        <f t="shared" si="142"/>
        <v>8.2022834149180518E-2</v>
      </c>
      <c r="BC111" s="60" t="str">
        <f t="shared" si="143"/>
        <v>-0.654292190329574+8.40421266108956i</v>
      </c>
      <c r="BD111" s="51">
        <f t="shared" si="144"/>
        <v>18.516184113551091</v>
      </c>
      <c r="BE111" s="63">
        <f t="shared" si="145"/>
        <v>94.451662198292453</v>
      </c>
      <c r="BF111" s="60" t="str">
        <f t="shared" si="146"/>
        <v>23.702077408601+191.055925085294i</v>
      </c>
      <c r="BG111" s="66">
        <f t="shared" si="147"/>
        <v>45.689541032002964</v>
      </c>
      <c r="BH111" s="63">
        <f t="shared" si="148"/>
        <v>82.928113923820177</v>
      </c>
      <c r="BI111" s="60" t="e">
        <f t="shared" si="101"/>
        <v>#NUM!</v>
      </c>
      <c r="BJ111" s="66" t="e">
        <f t="shared" si="149"/>
        <v>#NUM!</v>
      </c>
      <c r="BK111" s="63" t="e">
        <f t="shared" si="102"/>
        <v>#NUM!</v>
      </c>
      <c r="BL111" s="51">
        <f t="shared" si="150"/>
        <v>45.689541032002964</v>
      </c>
      <c r="BM111" s="63">
        <f t="shared" si="151"/>
        <v>82.928113923820177</v>
      </c>
    </row>
    <row r="112" spans="14:65" x14ac:dyDescent="0.3">
      <c r="N112" s="11">
        <v>94</v>
      </c>
      <c r="O112" s="52">
        <f t="shared" si="115"/>
        <v>87.096358995608071</v>
      </c>
      <c r="P112" s="50" t="str">
        <f t="shared" si="103"/>
        <v>23.3035714285714</v>
      </c>
      <c r="Q112" s="18" t="str">
        <f t="shared" si="104"/>
        <v>1+0.207561286451909i</v>
      </c>
      <c r="R112" s="18">
        <f t="shared" si="116"/>
        <v>1.0213137067686751</v>
      </c>
      <c r="S112" s="18">
        <f t="shared" si="117"/>
        <v>0.20465534345845646</v>
      </c>
      <c r="T112" s="18" t="str">
        <f t="shared" si="105"/>
        <v>1+0.000968619336775577i</v>
      </c>
      <c r="U112" s="18">
        <f t="shared" si="118"/>
        <v>1.0000004691115998</v>
      </c>
      <c r="V112" s="18">
        <f t="shared" si="119"/>
        <v>9.6861903384863211E-4</v>
      </c>
      <c r="W112" s="32" t="str">
        <f t="shared" si="106"/>
        <v>1-0.00133770404325566i</v>
      </c>
      <c r="X112" s="18">
        <f t="shared" si="120"/>
        <v>1.0000008947256533</v>
      </c>
      <c r="Y112" s="18">
        <f t="shared" si="121"/>
        <v>-1.3377032453374103E-3</v>
      </c>
      <c r="Z112" s="32" t="str">
        <f t="shared" si="107"/>
        <v>0.999999969656897+0.000656540584075185i</v>
      </c>
      <c r="AA112" s="18">
        <f t="shared" si="122"/>
        <v>1.0000001851796496</v>
      </c>
      <c r="AB112" s="18">
        <f t="shared" si="123"/>
        <v>6.5654050966371677E-4</v>
      </c>
      <c r="AC112" s="68" t="str">
        <f t="shared" si="124"/>
        <v>22.3363386072075-4.66005991886626i</v>
      </c>
      <c r="AD112" s="66">
        <f t="shared" si="125"/>
        <v>27.165276721189613</v>
      </c>
      <c r="AE112" s="63">
        <f t="shared" si="126"/>
        <v>-11.784651402856172</v>
      </c>
      <c r="AF112" s="51" t="e">
        <f t="shared" si="127"/>
        <v>#NUM!</v>
      </c>
      <c r="AG112" s="51" t="str">
        <f t="shared" si="108"/>
        <v>1-0.290585801032674i</v>
      </c>
      <c r="AH112" s="51">
        <f t="shared" si="128"/>
        <v>1.0413645412447079</v>
      </c>
      <c r="AI112" s="51">
        <f t="shared" si="129"/>
        <v>-0.28279769427461648</v>
      </c>
      <c r="AJ112" s="51" t="str">
        <f t="shared" si="109"/>
        <v>1+0.000968619336775577i</v>
      </c>
      <c r="AK112" s="51">
        <f t="shared" si="130"/>
        <v>1.0000004691115998</v>
      </c>
      <c r="AL112" s="51">
        <f t="shared" si="131"/>
        <v>9.6861903384863211E-4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-0.000170731707317073</v>
      </c>
      <c r="AT112" s="32" t="str">
        <f t="shared" si="112"/>
        <v>0.0000207952173997016i</v>
      </c>
      <c r="AU112" s="32">
        <f t="shared" si="137"/>
        <v>2.07952173997016E-5</v>
      </c>
      <c r="AV112" s="32">
        <f t="shared" si="138"/>
        <v>1.5707963267948966</v>
      </c>
      <c r="AW112" s="32" t="str">
        <f t="shared" si="113"/>
        <v>1+0.0044274803582855i</v>
      </c>
      <c r="AX112" s="32">
        <f t="shared" si="139"/>
        <v>1.0000098012431293</v>
      </c>
      <c r="AY112" s="32">
        <f t="shared" si="140"/>
        <v>4.4274514286096883E-3</v>
      </c>
      <c r="AZ112" s="32" t="str">
        <f t="shared" si="114"/>
        <v>1+0.0841221268074246i</v>
      </c>
      <c r="BA112" s="32">
        <f t="shared" si="141"/>
        <v>1.0035320284966516</v>
      </c>
      <c r="BB112" s="32">
        <f t="shared" si="142"/>
        <v>8.3924534113780452E-2</v>
      </c>
      <c r="BC112" s="60" t="str">
        <f t="shared" si="143"/>
        <v>-0.654291613084056+8.21303980312836i</v>
      </c>
      <c r="BD112" s="51">
        <f t="shared" si="144"/>
        <v>18.317553992036345</v>
      </c>
      <c r="BE112" s="63">
        <f t="shared" si="145"/>
        <v>94.554847321462816</v>
      </c>
      <c r="BF112" s="60" t="str">
        <f t="shared" si="146"/>
        <v>23.6587785809102+186.498276158531i</v>
      </c>
      <c r="BG112" s="66">
        <f t="shared" si="147"/>
        <v>45.482830713225944</v>
      </c>
      <c r="BH112" s="63">
        <f t="shared" si="148"/>
        <v>82.77019591860666</v>
      </c>
      <c r="BI112" s="60" t="e">
        <f t="shared" si="101"/>
        <v>#NUM!</v>
      </c>
      <c r="BJ112" s="66" t="e">
        <f t="shared" si="149"/>
        <v>#NUM!</v>
      </c>
      <c r="BK112" s="63" t="e">
        <f t="shared" si="102"/>
        <v>#NUM!</v>
      </c>
      <c r="BL112" s="51">
        <f t="shared" si="150"/>
        <v>45.482830713225944</v>
      </c>
      <c r="BM112" s="63">
        <f t="shared" si="151"/>
        <v>82.77019591860666</v>
      </c>
    </row>
    <row r="113" spans="14:65" x14ac:dyDescent="0.3">
      <c r="N113" s="11">
        <v>95</v>
      </c>
      <c r="O113" s="52">
        <f t="shared" si="115"/>
        <v>89.125093813374562</v>
      </c>
      <c r="P113" s="50" t="str">
        <f t="shared" si="103"/>
        <v>23.3035714285714</v>
      </c>
      <c r="Q113" s="18" t="str">
        <f t="shared" si="104"/>
        <v>1+0.212396009895017i</v>
      </c>
      <c r="R113" s="18">
        <f t="shared" si="116"/>
        <v>1.0223072263362536</v>
      </c>
      <c r="S113" s="18">
        <f t="shared" si="117"/>
        <v>0.20928589366488207</v>
      </c>
      <c r="T113" s="18" t="str">
        <f t="shared" si="105"/>
        <v>1+0.000991181379510079i</v>
      </c>
      <c r="U113" s="18">
        <f t="shared" si="118"/>
        <v>1.000000491220143</v>
      </c>
      <c r="V113" s="18">
        <f t="shared" si="119"/>
        <v>9.911810549180181E-4</v>
      </c>
      <c r="W113" s="32" t="str">
        <f t="shared" si="106"/>
        <v>1-0.00136886317320915i</v>
      </c>
      <c r="X113" s="18">
        <f t="shared" si="120"/>
        <v>1.0000009368927545</v>
      </c>
      <c r="Y113" s="18">
        <f t="shared" si="121"/>
        <v>-1.3688623182243848E-3</v>
      </c>
      <c r="Z113" s="32" t="str">
        <f t="shared" si="107"/>
        <v>0.999999968226871+0.00067183337883205i</v>
      </c>
      <c r="AA113" s="18">
        <f t="shared" si="122"/>
        <v>1.0000001939068972</v>
      </c>
      <c r="AB113" s="18">
        <f t="shared" si="123"/>
        <v>6.7183329909872587E-4</v>
      </c>
      <c r="AC113" s="68" t="str">
        <f t="shared" si="124"/>
        <v>22.2927219653813-4.75934265841193i</v>
      </c>
      <c r="AD113" s="66">
        <f t="shared" si="125"/>
        <v>27.156831799876411</v>
      </c>
      <c r="AE113" s="63">
        <f t="shared" si="126"/>
        <v>-12.051331173584781</v>
      </c>
      <c r="AF113" s="51" t="e">
        <f t="shared" si="127"/>
        <v>#NUM!</v>
      </c>
      <c r="AG113" s="51" t="str">
        <f t="shared" si="108"/>
        <v>1-0.297354413853024i</v>
      </c>
      <c r="AH113" s="51">
        <f t="shared" si="128"/>
        <v>1.0432735247469263</v>
      </c>
      <c r="AI113" s="51">
        <f t="shared" si="129"/>
        <v>-0.28902788740518737</v>
      </c>
      <c r="AJ113" s="51" t="str">
        <f t="shared" si="109"/>
        <v>1+0.000991181379510079i</v>
      </c>
      <c r="AK113" s="51">
        <f t="shared" si="130"/>
        <v>1.000000491220143</v>
      </c>
      <c r="AL113" s="51">
        <f t="shared" si="131"/>
        <v>9.911810549180181E-4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-0.000170731707317073</v>
      </c>
      <c r="AT113" s="32" t="str">
        <f t="shared" si="112"/>
        <v>0.0000212796002380695i</v>
      </c>
      <c r="AU113" s="32">
        <f t="shared" si="137"/>
        <v>2.1279600238069501E-5</v>
      </c>
      <c r="AV113" s="32">
        <f t="shared" si="138"/>
        <v>1.5707963267948966</v>
      </c>
      <c r="AW113" s="32" t="str">
        <f t="shared" si="113"/>
        <v>1+0.00453060962409423i</v>
      </c>
      <c r="AX113" s="32">
        <f t="shared" si="139"/>
        <v>1.0000102631591168</v>
      </c>
      <c r="AY113" s="32">
        <f t="shared" si="140"/>
        <v>4.5305786254052861E-3</v>
      </c>
      <c r="AZ113" s="32" t="str">
        <f t="shared" si="114"/>
        <v>1+0.0860815828577906i</v>
      </c>
      <c r="BA113" s="32">
        <f t="shared" si="141"/>
        <v>1.0036981811816252</v>
      </c>
      <c r="BB113" s="32">
        <f t="shared" si="142"/>
        <v>8.5869900582056069E-2</v>
      </c>
      <c r="BC113" s="60" t="str">
        <f t="shared" si="143"/>
        <v>-0.654291008634886+8.02622160734219i</v>
      </c>
      <c r="BD113" s="51">
        <f t="shared" si="144"/>
        <v>18.11898796534528</v>
      </c>
      <c r="BE113" s="63">
        <f t="shared" si="145"/>
        <v>94.660399856571885</v>
      </c>
      <c r="BF113" s="60" t="str">
        <f t="shared" si="146"/>
        <v>23.6136113417448+182.040321833427i</v>
      </c>
      <c r="BG113" s="66">
        <f t="shared" si="147"/>
        <v>45.275819765221705</v>
      </c>
      <c r="BH113" s="63">
        <f t="shared" si="148"/>
        <v>82.609068682987143</v>
      </c>
      <c r="BI113" s="60" t="e">
        <f t="shared" si="101"/>
        <v>#NUM!</v>
      </c>
      <c r="BJ113" s="66" t="e">
        <f t="shared" si="149"/>
        <v>#NUM!</v>
      </c>
      <c r="BK113" s="63" t="e">
        <f t="shared" si="102"/>
        <v>#NUM!</v>
      </c>
      <c r="BL113" s="51">
        <f t="shared" si="150"/>
        <v>45.275819765221705</v>
      </c>
      <c r="BM113" s="63">
        <f t="shared" si="151"/>
        <v>82.609068682987143</v>
      </c>
    </row>
    <row r="114" spans="14:65" x14ac:dyDescent="0.3">
      <c r="N114" s="11">
        <v>96</v>
      </c>
      <c r="O114" s="52">
        <f t="shared" si="115"/>
        <v>91.201083935590972</v>
      </c>
      <c r="P114" s="50" t="str">
        <f t="shared" si="103"/>
        <v>23.3035714285714</v>
      </c>
      <c r="Q114" s="18" t="str">
        <f t="shared" si="104"/>
        <v>1+0.217343348513964i</v>
      </c>
      <c r="R114" s="18">
        <f t="shared" si="116"/>
        <v>1.023346535218282</v>
      </c>
      <c r="S114" s="18">
        <f t="shared" si="117"/>
        <v>0.21401489134606741</v>
      </c>
      <c r="T114" s="18" t="str">
        <f t="shared" si="105"/>
        <v>1+0.00101426895973183i</v>
      </c>
      <c r="U114" s="18">
        <f t="shared" si="118"/>
        <v>1.000000514370629</v>
      </c>
      <c r="V114" s="18">
        <f t="shared" si="119"/>
        <v>1.01426861192518E-3</v>
      </c>
      <c r="W114" s="32" t="str">
        <f t="shared" si="106"/>
        <v>1-0.00140074809253612i</v>
      </c>
      <c r="X114" s="18">
        <f t="shared" si="120"/>
        <v>1.0000009810471282</v>
      </c>
      <c r="Y114" s="18">
        <f t="shared" si="121"/>
        <v>-1.400747176403487E-3</v>
      </c>
      <c r="Z114" s="32" t="str">
        <f t="shared" si="107"/>
        <v>0.999999966729449+0.000687482388539138i</v>
      </c>
      <c r="AA114" s="18">
        <f t="shared" si="122"/>
        <v>1.0000002030454462</v>
      </c>
      <c r="AB114" s="18">
        <f t="shared" si="123"/>
        <v>6.8748230310334321E-4</v>
      </c>
      <c r="AC114" s="68" t="str">
        <f t="shared" si="124"/>
        <v>22.2472310056825-4.86031483326125i</v>
      </c>
      <c r="AD114" s="66">
        <f t="shared" si="125"/>
        <v>27.148006448844761</v>
      </c>
      <c r="AE114" s="63">
        <f t="shared" si="126"/>
        <v>-12.323683452155198</v>
      </c>
      <c r="AF114" s="51" t="e">
        <f t="shared" si="127"/>
        <v>#NUM!</v>
      </c>
      <c r="AG114" s="51" t="str">
        <f t="shared" si="108"/>
        <v>1-0.304280687919551i</v>
      </c>
      <c r="AH114" s="51">
        <f t="shared" si="128"/>
        <v>1.0452687391483566</v>
      </c>
      <c r="AI114" s="51">
        <f t="shared" si="129"/>
        <v>-0.29537938947120135</v>
      </c>
      <c r="AJ114" s="51" t="str">
        <f t="shared" si="109"/>
        <v>1+0.00101426895973183i</v>
      </c>
      <c r="AK114" s="51">
        <f t="shared" si="130"/>
        <v>1.000000514370629</v>
      </c>
      <c r="AL114" s="51">
        <f t="shared" si="131"/>
        <v>1.01426861192518E-3</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-0.000170731707317073</v>
      </c>
      <c r="AT114" s="32" t="str">
        <f t="shared" si="112"/>
        <v>0.0000217752658021524i</v>
      </c>
      <c r="AU114" s="32">
        <f t="shared" si="137"/>
        <v>2.1775265802152401E-5</v>
      </c>
      <c r="AV114" s="32">
        <f t="shared" si="138"/>
        <v>1.5707963267948966</v>
      </c>
      <c r="AW114" s="32" t="str">
        <f t="shared" si="113"/>
        <v>1+0.00463614107909537i</v>
      </c>
      <c r="AX114" s="32">
        <f t="shared" si="139"/>
        <v>1.0000107468443054</v>
      </c>
      <c r="AY114" s="32">
        <f t="shared" si="140"/>
        <v>4.6361078634210079E-3</v>
      </c>
      <c r="AZ114" s="32" t="str">
        <f t="shared" si="114"/>
        <v>1+0.0880866805028122i</v>
      </c>
      <c r="BA114" s="32">
        <f t="shared" si="141"/>
        <v>1.0038721349265576</v>
      </c>
      <c r="BB114" s="32">
        <f t="shared" si="142"/>
        <v>8.7859906083189609E-2</v>
      </c>
      <c r="BC114" s="60" t="str">
        <f t="shared" si="143"/>
        <v>-0.6542903757001+7.84365902023367i</v>
      </c>
      <c r="BD114" s="51">
        <f t="shared" si="144"/>
        <v>17.920489009595727</v>
      </c>
      <c r="BE114" s="63">
        <f t="shared" si="145"/>
        <v>94.768372393041105</v>
      </c>
      <c r="BF114" s="60" t="str">
        <f t="shared" si="146"/>
        <v>23.5665031500902+177.679751371219i</v>
      </c>
      <c r="BG114" s="66">
        <f t="shared" si="147"/>
        <v>45.068495458440488</v>
      </c>
      <c r="BH114" s="63">
        <f t="shared" si="148"/>
        <v>82.444688940885925</v>
      </c>
      <c r="BI114" s="60" t="e">
        <f t="shared" ref="BI114:BI177" si="152">IMPRODUCT(AP114,BC114)</f>
        <v>#NUM!</v>
      </c>
      <c r="BJ114" s="66" t="e">
        <f t="shared" si="149"/>
        <v>#NUM!</v>
      </c>
      <c r="BK114" s="63" t="e">
        <f t="shared" ref="BK114:BK177" si="153">(180/PI())*IMARGUMENT(BI114)</f>
        <v>#NUM!</v>
      </c>
      <c r="BL114" s="51">
        <f t="shared" si="150"/>
        <v>45.068495458440488</v>
      </c>
      <c r="BM114" s="63">
        <f t="shared" si="151"/>
        <v>82.444688940885925</v>
      </c>
    </row>
    <row r="115" spans="14:65" x14ac:dyDescent="0.3">
      <c r="N115" s="11">
        <v>97</v>
      </c>
      <c r="O115" s="52">
        <f t="shared" si="115"/>
        <v>93.325430079699174</v>
      </c>
      <c r="P115" s="50" t="str">
        <f t="shared" si="103"/>
        <v>23.3035714285714</v>
      </c>
      <c r="Q115" s="18" t="str">
        <f t="shared" si="104"/>
        <v>1+0.222405925453174i</v>
      </c>
      <c r="R115" s="18">
        <f t="shared" si="116"/>
        <v>1.0244336951099777</v>
      </c>
      <c r="S115" s="18">
        <f t="shared" si="117"/>
        <v>0.21884399743534705</v>
      </c>
      <c r="T115" s="18" t="str">
        <f t="shared" si="105"/>
        <v>1+0.00103789431878148i</v>
      </c>
      <c r="U115" s="18">
        <f t="shared" si="118"/>
        <v>1.0000005386121635</v>
      </c>
      <c r="V115" s="18">
        <f t="shared" si="119"/>
        <v>1.037893946099951E-3</v>
      </c>
      <c r="W115" s="32" t="str">
        <f t="shared" si="106"/>
        <v>1-0.00143337570704285i</v>
      </c>
      <c r="X115" s="18">
        <f t="shared" si="120"/>
        <v>1.0000010272824311</v>
      </c>
      <c r="Y115" s="18">
        <f t="shared" si="121"/>
        <v>-1.4333747253891019E-3</v>
      </c>
      <c r="Z115" s="32" t="str">
        <f t="shared" si="107"/>
        <v>0.999999965161456+0.000703495910508536i</v>
      </c>
      <c r="AA115" s="18">
        <f t="shared" si="122"/>
        <v>1.0000002126146821</v>
      </c>
      <c r="AB115" s="18">
        <f t="shared" si="123"/>
        <v>7.0349581896243384E-4</v>
      </c>
      <c r="AC115" s="68" t="str">
        <f t="shared" si="124"/>
        <v>22.1997936741107-4.96297576611831i</v>
      </c>
      <c r="AD115" s="66">
        <f t="shared" si="125"/>
        <v>27.138784355662516</v>
      </c>
      <c r="AE115" s="63">
        <f t="shared" si="126"/>
        <v>-12.601804145680671</v>
      </c>
      <c r="AF115" s="51" t="e">
        <f t="shared" si="127"/>
        <v>#NUM!</v>
      </c>
      <c r="AG115" s="51" t="str">
        <f t="shared" si="108"/>
        <v>1-0.311368295634444i</v>
      </c>
      <c r="AH115" s="51">
        <f t="shared" si="128"/>
        <v>1.0473539113051988</v>
      </c>
      <c r="AI115" s="51">
        <f t="shared" si="129"/>
        <v>-0.30185351752229861</v>
      </c>
      <c r="AJ115" s="51" t="str">
        <f t="shared" si="109"/>
        <v>1+0.00103789431878148i</v>
      </c>
      <c r="AK115" s="51">
        <f t="shared" si="130"/>
        <v>1.0000005386121635</v>
      </c>
      <c r="AL115" s="51">
        <f t="shared" si="131"/>
        <v>1.037893946099951E-3</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-0.000170731707317073</v>
      </c>
      <c r="AT115" s="32" t="str">
        <f t="shared" si="112"/>
        <v>0.0000222824769003933i</v>
      </c>
      <c r="AU115" s="32">
        <f t="shared" si="137"/>
        <v>2.2282476900393299E-5</v>
      </c>
      <c r="AV115" s="32">
        <f t="shared" si="138"/>
        <v>1.5707963267948966</v>
      </c>
      <c r="AW115" s="32" t="str">
        <f t="shared" si="113"/>
        <v>1+0.00474413067746324i</v>
      </c>
      <c r="AX115" s="32">
        <f t="shared" si="139"/>
        <v>1.0000112533246237</v>
      </c>
      <c r="AY115" s="32">
        <f t="shared" si="140"/>
        <v>4.7440950862485563E-3</v>
      </c>
      <c r="AZ115" s="32" t="str">
        <f t="shared" si="114"/>
        <v>1+0.0901384828718016i</v>
      </c>
      <c r="BA115" s="32">
        <f t="shared" si="141"/>
        <v>1.0040542545572078</v>
      </c>
      <c r="BB115" s="32">
        <f t="shared" si="142"/>
        <v>8.9895542664153741E-2</v>
      </c>
      <c r="BC115" s="60" t="str">
        <f t="shared" si="143"/>
        <v>-0.654289712937331+7.66525524468413i</v>
      </c>
      <c r="BD115" s="51">
        <f t="shared" si="144"/>
        <v>17.722060236914398</v>
      </c>
      <c r="BE115" s="63">
        <f t="shared" si="145"/>
        <v>94.878818565643428</v>
      </c>
      <c r="BF115" s="60" t="str">
        <f t="shared" si="146"/>
        <v>23.5173793901767+173.414308880711i</v>
      </c>
      <c r="BG115" s="66">
        <f t="shared" si="147"/>
        <v>44.860844592576903</v>
      </c>
      <c r="BH115" s="63">
        <f t="shared" si="148"/>
        <v>82.277014419962782</v>
      </c>
      <c r="BI115" s="60" t="e">
        <f t="shared" si="152"/>
        <v>#NUM!</v>
      </c>
      <c r="BJ115" s="66" t="e">
        <f t="shared" si="149"/>
        <v>#NUM!</v>
      </c>
      <c r="BK115" s="63" t="e">
        <f t="shared" si="153"/>
        <v>#NUM!</v>
      </c>
      <c r="BL115" s="51">
        <f t="shared" si="150"/>
        <v>44.860844592576903</v>
      </c>
      <c r="BM115" s="63">
        <f t="shared" si="151"/>
        <v>82.277014419962782</v>
      </c>
    </row>
    <row r="116" spans="14:65" x14ac:dyDescent="0.3">
      <c r="N116" s="11">
        <v>98</v>
      </c>
      <c r="O116" s="52">
        <f t="shared" si="115"/>
        <v>95.499258602143655</v>
      </c>
      <c r="P116" s="50" t="str">
        <f t="shared" si="103"/>
        <v>23.3035714285714</v>
      </c>
      <c r="Q116" s="18" t="str">
        <f t="shared" si="104"/>
        <v>1+0.227586424957949i</v>
      </c>
      <c r="R116" s="18">
        <f t="shared" si="116"/>
        <v>1.0255708560724317</v>
      </c>
      <c r="S116" s="18">
        <f t="shared" si="117"/>
        <v>0.22377487104794358</v>
      </c>
      <c r="T116" s="18" t="str">
        <f t="shared" si="105"/>
        <v>1+0.00106206998313709i</v>
      </c>
      <c r="U116" s="18">
        <f t="shared" si="118"/>
        <v>1.0000005639961655</v>
      </c>
      <c r="V116" s="18">
        <f t="shared" si="119"/>
        <v>1.0620695838016491E-3</v>
      </c>
      <c r="W116" s="32" t="str">
        <f t="shared" si="106"/>
        <v>1-0.00146676331632241i</v>
      </c>
      <c r="X116" s="18">
        <f t="shared" si="120"/>
        <v>1.0000010756967344</v>
      </c>
      <c r="Y116" s="18">
        <f t="shared" si="121"/>
        <v>-1.466762264461529E-3</v>
      </c>
      <c r="Z116" s="32" t="str">
        <f t="shared" si="107"/>
        <v>0.999999963519566+0.000719882435321553i</v>
      </c>
      <c r="AA116" s="18">
        <f t="shared" si="122"/>
        <v>1.0000002226349021</v>
      </c>
      <c r="AB116" s="18">
        <f t="shared" si="123"/>
        <v>7.1988233722813824E-4</v>
      </c>
      <c r="AC116" s="68" t="str">
        <f t="shared" si="124"/>
        <v>22.1503359239243-5.06732241041221i</v>
      </c>
      <c r="AD116" s="66">
        <f t="shared" si="125"/>
        <v>27.129148584065213</v>
      </c>
      <c r="AE116" s="63">
        <f t="shared" si="126"/>
        <v>-12.885789074402235</v>
      </c>
      <c r="AF116" s="51" t="e">
        <f t="shared" si="127"/>
        <v>#NUM!</v>
      </c>
      <c r="AG116" s="51" t="str">
        <f t="shared" si="108"/>
        <v>1-0.318620994941129i</v>
      </c>
      <c r="AH116" s="51">
        <f t="shared" si="128"/>
        <v>1.0495329144039625</v>
      </c>
      <c r="AI116" s="51">
        <f t="shared" si="129"/>
        <v>-0.3084515325648447</v>
      </c>
      <c r="AJ116" s="51" t="str">
        <f t="shared" si="109"/>
        <v>1+0.00106206998313709i</v>
      </c>
      <c r="AK116" s="51">
        <f t="shared" si="130"/>
        <v>1.0000005639961655</v>
      </c>
      <c r="AL116" s="51">
        <f t="shared" si="131"/>
        <v>1.0620695838016491E-3</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-0.000170731707317073</v>
      </c>
      <c r="AT116" s="32" t="str">
        <f t="shared" si="112"/>
        <v>0.0000228015024628302i</v>
      </c>
      <c r="AU116" s="32">
        <f t="shared" si="137"/>
        <v>2.2801502462830201E-5</v>
      </c>
      <c r="AV116" s="32">
        <f t="shared" si="138"/>
        <v>1.5707963267948966</v>
      </c>
      <c r="AW116" s="32" t="str">
        <f t="shared" si="113"/>
        <v>1+0.00485463567671227i</v>
      </c>
      <c r="AX116" s="32">
        <f t="shared" si="139"/>
        <v>1.0000117836743492</v>
      </c>
      <c r="AY116" s="32">
        <f t="shared" si="140"/>
        <v>4.8545975400629097E-3</v>
      </c>
      <c r="AZ116" s="32" t="str">
        <f t="shared" si="114"/>
        <v>1+0.0922380778575334i</v>
      </c>
      <c r="BA116" s="32">
        <f t="shared" si="141"/>
        <v>1.0042449218227854</v>
      </c>
      <c r="BB116" s="32">
        <f t="shared" si="142"/>
        <v>9.1977822126606684E-2</v>
      </c>
      <c r="BC116" s="60" t="str">
        <f t="shared" si="143"/>
        <v>-0.654289018940956+7.49091568863053i</v>
      </c>
      <c r="BD116" s="51">
        <f t="shared" si="144"/>
        <v>17.523704901444038</v>
      </c>
      <c r="BE116" s="63">
        <f t="shared" si="145"/>
        <v>94.991793066379373</v>
      </c>
      <c r="BF116" s="60" t="str">
        <f t="shared" si="146"/>
        <v>23.4661633826288+169.241792289527i</v>
      </c>
      <c r="BG116" s="66">
        <f t="shared" si="147"/>
        <v>44.652853485509254</v>
      </c>
      <c r="BH116" s="63">
        <f t="shared" si="148"/>
        <v>82.106003991977161</v>
      </c>
      <c r="BI116" s="60" t="e">
        <f t="shared" si="152"/>
        <v>#NUM!</v>
      </c>
      <c r="BJ116" s="66" t="e">
        <f t="shared" si="149"/>
        <v>#NUM!</v>
      </c>
      <c r="BK116" s="63" t="e">
        <f t="shared" si="153"/>
        <v>#NUM!</v>
      </c>
      <c r="BL116" s="51">
        <f t="shared" si="150"/>
        <v>44.652853485509254</v>
      </c>
      <c r="BM116" s="63">
        <f t="shared" si="151"/>
        <v>82.106003991977161</v>
      </c>
    </row>
    <row r="117" spans="14:65" x14ac:dyDescent="0.3">
      <c r="N117" s="11">
        <v>99</v>
      </c>
      <c r="O117" s="52">
        <f t="shared" si="115"/>
        <v>97.723722095581124</v>
      </c>
      <c r="P117" s="50" t="str">
        <f t="shared" si="103"/>
        <v>23.3035714285714</v>
      </c>
      <c r="Q117" s="18" t="str">
        <f t="shared" si="104"/>
        <v>1+0.232887593797698i</v>
      </c>
      <c r="R117" s="18">
        <f t="shared" si="116"/>
        <v>1.0267602599170274</v>
      </c>
      <c r="S117" s="18">
        <f t="shared" si="117"/>
        <v>0.22880916706906035</v>
      </c>
      <c r="T117" s="18" t="str">
        <f t="shared" si="105"/>
        <v>1+0.00108680877105593i</v>
      </c>
      <c r="U117" s="18">
        <f t="shared" si="118"/>
        <v>1.0000005905764782</v>
      </c>
      <c r="V117" s="18">
        <f t="shared" si="119"/>
        <v>1.0868083431603093E-3</v>
      </c>
      <c r="W117" s="32" t="str">
        <f t="shared" si="106"/>
        <v>1-0.0015009286229272i</v>
      </c>
      <c r="X117" s="18">
        <f t="shared" si="120"/>
        <v>1.0000011263927313</v>
      </c>
      <c r="Y117" s="18">
        <f t="shared" si="121"/>
        <v>-1.500927495838028E-3</v>
      </c>
      <c r="Z117" s="32" t="str">
        <f t="shared" si="107"/>
        <v>0.999999961800297+0.000736650651330548i</v>
      </c>
      <c r="AA117" s="18">
        <f t="shared" si="122"/>
        <v>1.0000002331273616</v>
      </c>
      <c r="AB117" s="18">
        <f t="shared" si="123"/>
        <v>7.3665054622156108E-4</v>
      </c>
      <c r="AC117" s="68" t="str">
        <f t="shared" si="124"/>
        <v>22.0987817344398-5.17334918174375i</v>
      </c>
      <c r="AD117" s="66">
        <f t="shared" si="125"/>
        <v>27.11908155701407</v>
      </c>
      <c r="AE117" s="63">
        <f t="shared" si="126"/>
        <v>-13.175733833899359</v>
      </c>
      <c r="AF117" s="51" t="e">
        <f t="shared" si="127"/>
        <v>#NUM!</v>
      </c>
      <c r="AG117" s="51" t="str">
        <f t="shared" si="108"/>
        <v>1-0.326042631316778i</v>
      </c>
      <c r="AH117" s="51">
        <f t="shared" si="128"/>
        <v>1.0518097724569631</v>
      </c>
      <c r="AI117" s="51">
        <f t="shared" si="129"/>
        <v>-0.31517463424066117</v>
      </c>
      <c r="AJ117" s="51" t="str">
        <f t="shared" si="109"/>
        <v>1+0.00108680877105593i</v>
      </c>
      <c r="AK117" s="51">
        <f t="shared" si="130"/>
        <v>1.0000005905764782</v>
      </c>
      <c r="AL117" s="51">
        <f t="shared" si="131"/>
        <v>1.0868083431603093E-3</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-0.000170731707317073</v>
      </c>
      <c r="AT117" s="32" t="str">
        <f t="shared" si="112"/>
        <v>0.0000233326176836865i</v>
      </c>
      <c r="AU117" s="32">
        <f t="shared" si="137"/>
        <v>2.33326176836865E-5</v>
      </c>
      <c r="AV117" s="32">
        <f t="shared" si="138"/>
        <v>1.5707963267948966</v>
      </c>
      <c r="AW117" s="32" t="str">
        <f t="shared" si="113"/>
        <v>1+0.0049677146680558i</v>
      </c>
      <c r="AX117" s="32">
        <f t="shared" si="139"/>
        <v>1.0000123390183859</v>
      </c>
      <c r="AY117" s="32">
        <f t="shared" si="140"/>
        <v>4.9676738039270054E-3</v>
      </c>
      <c r="AZ117" s="32" t="str">
        <f t="shared" si="114"/>
        <v>1+0.0943865786930604i</v>
      </c>
      <c r="BA117" s="32">
        <f t="shared" si="141"/>
        <v>1.0044445361678171</v>
      </c>
      <c r="BB117" s="32">
        <f t="shared" si="142"/>
        <v>9.4107776254513331E-2</v>
      </c>
      <c r="BC117" s="60" t="str">
        <f t="shared" si="143"/>
        <v>-0.654288292239113+7.3205479149114i</v>
      </c>
      <c r="BD117" s="51">
        <f t="shared" si="144"/>
        <v>17.325426405595813</v>
      </c>
      <c r="BE117" s="63">
        <f t="shared" si="145"/>
        <v>95.107351655782352</v>
      </c>
      <c r="BF117" s="60" t="str">
        <f t="shared" si="146"/>
        <v>23.4127764039313+165.160052349415i</v>
      </c>
      <c r="BG117" s="66">
        <f t="shared" si="147"/>
        <v>44.444507962609876</v>
      </c>
      <c r="BH117" s="63">
        <f t="shared" si="148"/>
        <v>81.93161782188298</v>
      </c>
      <c r="BI117" s="60" t="e">
        <f t="shared" si="152"/>
        <v>#NUM!</v>
      </c>
      <c r="BJ117" s="66" t="e">
        <f t="shared" si="149"/>
        <v>#NUM!</v>
      </c>
      <c r="BK117" s="63" t="e">
        <f t="shared" si="153"/>
        <v>#NUM!</v>
      </c>
      <c r="BL117" s="51">
        <f t="shared" si="150"/>
        <v>44.444507962609876</v>
      </c>
      <c r="BM117" s="63">
        <f t="shared" si="151"/>
        <v>81.93161782188298</v>
      </c>
    </row>
    <row r="118" spans="14:65" x14ac:dyDescent="0.3">
      <c r="N118" s="11">
        <v>100</v>
      </c>
      <c r="O118" s="52">
        <f t="shared" si="115"/>
        <v>100</v>
      </c>
      <c r="P118" s="50" t="str">
        <f t="shared" si="103"/>
        <v>23.3035714285714</v>
      </c>
      <c r="Q118" s="18" t="str">
        <f t="shared" si="104"/>
        <v>1+0.238312242722312i</v>
      </c>
      <c r="R118" s="18">
        <f t="shared" si="116"/>
        <v>1.0280042436835259</v>
      </c>
      <c r="S118" s="18">
        <f t="shared" si="117"/>
        <v>0.23394853357305004</v>
      </c>
      <c r="T118" s="18" t="str">
        <f t="shared" si="105"/>
        <v>1+0.00111212379937079i</v>
      </c>
      <c r="U118" s="18">
        <f t="shared" si="118"/>
        <v>1.0000006184094814</v>
      </c>
      <c r="V118" s="18">
        <f t="shared" si="119"/>
        <v>1.1121233408723872E-3</v>
      </c>
      <c r="W118" s="32" t="str">
        <f t="shared" si="106"/>
        <v>1-0.00153588974175501i</v>
      </c>
      <c r="X118" s="18">
        <f t="shared" si="120"/>
        <v>1.0000011794779537</v>
      </c>
      <c r="Y118" s="18">
        <f t="shared" si="121"/>
        <v>-1.5358885340572804E-3</v>
      </c>
      <c r="Z118" s="32" t="str">
        <f t="shared" si="107"/>
        <v>0.99999996+0.000753809449265603i</v>
      </c>
      <c r="AA118" s="18">
        <f t="shared" si="122"/>
        <v>1.0000002441143139</v>
      </c>
      <c r="AB118" s="18">
        <f t="shared" si="123"/>
        <v>7.5380933663929622E-4</v>
      </c>
      <c r="AC118" s="68" t="str">
        <f t="shared" si="124"/>
        <v>22.0450531386417-5.2810477828665i</v>
      </c>
      <c r="AD118" s="66">
        <f t="shared" si="125"/>
        <v>27.108565039951888</v>
      </c>
      <c r="AE118" s="63">
        <f t="shared" si="126"/>
        <v>-13.471733647631476</v>
      </c>
      <c r="AF118" s="51" t="e">
        <f t="shared" si="127"/>
        <v>#NUM!</v>
      </c>
      <c r="AG118" s="51" t="str">
        <f t="shared" si="108"/>
        <v>1-0.333637139811237i</v>
      </c>
      <c r="AH118" s="51">
        <f t="shared" si="128"/>
        <v>1.0541886648325445</v>
      </c>
      <c r="AI118" s="51">
        <f t="shared" si="129"/>
        <v>-0.32202395530165301</v>
      </c>
      <c r="AJ118" s="51" t="str">
        <f t="shared" si="109"/>
        <v>1+0.00111212379937079i</v>
      </c>
      <c r="AK118" s="51">
        <f t="shared" si="130"/>
        <v>1.0000006184094814</v>
      </c>
      <c r="AL118" s="51">
        <f t="shared" si="131"/>
        <v>1.1121233408723872E-3</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-0.000170731707317073</v>
      </c>
      <c r="AT118" s="32" t="str">
        <f t="shared" si="112"/>
        <v>0.0000238761041672824i</v>
      </c>
      <c r="AU118" s="32">
        <f t="shared" si="137"/>
        <v>2.3876104167282401E-5</v>
      </c>
      <c r="AV118" s="32">
        <f t="shared" si="138"/>
        <v>1.5707963267948966</v>
      </c>
      <c r="AW118" s="32" t="str">
        <f t="shared" si="113"/>
        <v>1+0.00508342760747182i</v>
      </c>
      <c r="AX118" s="32">
        <f t="shared" si="139"/>
        <v>1.0000129205346502</v>
      </c>
      <c r="AY118" s="32">
        <f t="shared" si="140"/>
        <v>5.0833838207994808E-3</v>
      </c>
      <c r="AZ118" s="32" t="str">
        <f t="shared" si="114"/>
        <v>1+0.0965851245419647i</v>
      </c>
      <c r="BA118" s="32">
        <f t="shared" si="141"/>
        <v>1.0046535155379623</v>
      </c>
      <c r="BB118" s="32">
        <f t="shared" si="142"/>
        <v>9.6286457031308476E-2</v>
      </c>
      <c r="BC118" s="60" t="str">
        <f t="shared" si="143"/>
        <v>-0.654287531290599+7.1540615922553i</v>
      </c>
      <c r="BD118" s="51">
        <f t="shared" si="144"/>
        <v>17.127228306554951</v>
      </c>
      <c r="BE118" s="63">
        <f t="shared" si="145"/>
        <v>95.225551173584805</v>
      </c>
      <c r="BF118" s="60" t="str">
        <f t="shared" si="146"/>
        <v>23.3571377150183+161.166991674863i</v>
      </c>
      <c r="BG118" s="66">
        <f t="shared" si="147"/>
        <v>44.235793346506824</v>
      </c>
      <c r="BH118" s="63">
        <f t="shared" si="148"/>
        <v>81.753817525953323</v>
      </c>
      <c r="BI118" s="60" t="e">
        <f t="shared" si="152"/>
        <v>#NUM!</v>
      </c>
      <c r="BJ118" s="66" t="e">
        <f t="shared" si="149"/>
        <v>#NUM!</v>
      </c>
      <c r="BK118" s="63" t="e">
        <f t="shared" si="153"/>
        <v>#NUM!</v>
      </c>
      <c r="BL118" s="51">
        <f t="shared" si="150"/>
        <v>44.235793346506824</v>
      </c>
      <c r="BM118" s="63">
        <f t="shared" si="151"/>
        <v>81.753817525953323</v>
      </c>
    </row>
    <row r="119" spans="14:65" x14ac:dyDescent="0.3">
      <c r="N119" s="11">
        <v>1</v>
      </c>
      <c r="O119" s="52">
        <f>10^(2+(N119/100))</f>
        <v>102.32929922807544</v>
      </c>
      <c r="P119" s="50" t="str">
        <f t="shared" si="103"/>
        <v>23.3035714285714</v>
      </c>
      <c r="Q119" s="18" t="str">
        <f t="shared" si="104"/>
        <v>1+0.243863247952452i</v>
      </c>
      <c r="R119" s="18">
        <f t="shared" si="116"/>
        <v>1.0293052432111278</v>
      </c>
      <c r="S119" s="18">
        <f t="shared" si="117"/>
        <v>0.23919460906737736</v>
      </c>
      <c r="T119" s="18" t="str">
        <f t="shared" si="105"/>
        <v>1+0.00113802849044477i</v>
      </c>
      <c r="U119" s="18">
        <f t="shared" si="118"/>
        <v>1.0000006475542129</v>
      </c>
      <c r="V119" s="18">
        <f t="shared" si="119"/>
        <v>1.1380279991548971E-3</v>
      </c>
      <c r="W119" s="32" t="str">
        <f t="shared" si="106"/>
        <v>1-0.0015716652096538i</v>
      </c>
      <c r="X119" s="18">
        <f t="shared" si="120"/>
        <v>1.0000012350650029</v>
      </c>
      <c r="Y119" s="18">
        <f t="shared" si="121"/>
        <v>-1.5716639155824543E-3</v>
      </c>
      <c r="Z119" s="32" t="str">
        <f t="shared" si="107"/>
        <v>0.999999958114858+0.000771367926948506i</v>
      </c>
      <c r="AA119" s="18">
        <f t="shared" si="122"/>
        <v>1.0000002556190657</v>
      </c>
      <c r="AB119" s="18">
        <f t="shared" si="123"/>
        <v>7.7136780626724569E-4</v>
      </c>
      <c r="AC119" s="68" t="str">
        <f t="shared" si="124"/>
        <v>21.9890702604182-5.39040702237565i</v>
      </c>
      <c r="AD119" s="66">
        <f t="shared" si="125"/>
        <v>27.097580124335202</v>
      </c>
      <c r="AE119" s="63">
        <f t="shared" si="126"/>
        <v>-13.773883209450357</v>
      </c>
      <c r="AF119" s="51" t="e">
        <f t="shared" si="127"/>
        <v>#NUM!</v>
      </c>
      <c r="AG119" s="51" t="str">
        <f t="shared" si="108"/>
        <v>1-0.341408547133433i</v>
      </c>
      <c r="AH119" s="51">
        <f t="shared" si="128"/>
        <v>1.0566739308110906</v>
      </c>
      <c r="AI119" s="51">
        <f t="shared" si="129"/>
        <v>-0.32900055588658106</v>
      </c>
      <c r="AJ119" s="51" t="str">
        <f t="shared" si="109"/>
        <v>1+0.00113802849044477i</v>
      </c>
      <c r="AK119" s="51">
        <f t="shared" si="130"/>
        <v>1.0000006475542129</v>
      </c>
      <c r="AL119" s="51">
        <f t="shared" si="131"/>
        <v>1.1380279991548971E-3</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-0.000170731707317073</v>
      </c>
      <c r="AT119" s="32" t="str">
        <f t="shared" si="112"/>
        <v>0.0000244322500773454i</v>
      </c>
      <c r="AU119" s="32">
        <f t="shared" si="137"/>
        <v>2.44322500773454E-5</v>
      </c>
      <c r="AV119" s="32">
        <f t="shared" si="138"/>
        <v>1.5707963267948966</v>
      </c>
      <c r="AW119" s="32" t="str">
        <f t="shared" si="113"/>
        <v>1+0.00520183584749243i</v>
      </c>
      <c r="AX119" s="32">
        <f t="shared" si="139"/>
        <v>1.0000135294565691</v>
      </c>
      <c r="AY119" s="32">
        <f t="shared" si="140"/>
        <v>5.2017889292619891E-3</v>
      </c>
      <c r="AZ119" s="32" t="str">
        <f t="shared" si="114"/>
        <v>1+0.0988348811023563i</v>
      </c>
      <c r="BA119" s="32">
        <f t="shared" si="141"/>
        <v>1.0048722972211528</v>
      </c>
      <c r="BB119" s="32">
        <f t="shared" si="142"/>
        <v>9.8514936845334147E-2</v>
      </c>
      <c r="BC119" s="60" t="str">
        <f t="shared" si="143"/>
        <v>-0.654286734481584+6.99136844738592i</v>
      </c>
      <c r="BD119" s="51">
        <f t="shared" si="144"/>
        <v>16.929114323048044</v>
      </c>
      <c r="BE119" s="63">
        <f t="shared" si="145"/>
        <v>95.346449548670904</v>
      </c>
      <c r="BF119" s="60" t="str">
        <f t="shared" si="146"/>
        <v>23.2991645998295+157.260563814237i</v>
      </c>
      <c r="BG119" s="66">
        <f t="shared" si="147"/>
        <v>44.026694447383264</v>
      </c>
      <c r="BH119" s="63">
        <f t="shared" si="148"/>
        <v>81.572566339220558</v>
      </c>
      <c r="BI119" s="60" t="e">
        <f t="shared" si="152"/>
        <v>#NUM!</v>
      </c>
      <c r="BJ119" s="66" t="e">
        <f t="shared" si="149"/>
        <v>#NUM!</v>
      </c>
      <c r="BK119" s="63" t="e">
        <f t="shared" si="153"/>
        <v>#NUM!</v>
      </c>
      <c r="BL119" s="51">
        <f t="shared" si="150"/>
        <v>44.026694447383264</v>
      </c>
      <c r="BM119" s="63">
        <f t="shared" si="151"/>
        <v>81.572566339220558</v>
      </c>
    </row>
    <row r="120" spans="14:65" x14ac:dyDescent="0.3">
      <c r="N120" s="11">
        <v>2</v>
      </c>
      <c r="O120" s="52">
        <f t="shared" ref="O120:O183" si="154">10^(2+(N120/100))</f>
        <v>104.71285480508998</v>
      </c>
      <c r="P120" s="50" t="str">
        <f t="shared" si="103"/>
        <v>23.3035714285714</v>
      </c>
      <c r="Q120" s="18" t="str">
        <f t="shared" si="104"/>
        <v>1+0.249543552704568i</v>
      </c>
      <c r="R120" s="18">
        <f t="shared" si="116"/>
        <v>1.0306657968014741</v>
      </c>
      <c r="S120" s="18">
        <f t="shared" si="117"/>
        <v>0.24454901955532737</v>
      </c>
      <c r="T120" s="18" t="str">
        <f t="shared" si="105"/>
        <v>1+0.00116453657928798i</v>
      </c>
      <c r="U120" s="18">
        <f t="shared" si="118"/>
        <v>1.0000006780724924</v>
      </c>
      <c r="V120" s="18">
        <f t="shared" si="119"/>
        <v>1.1645360528614161E-3</v>
      </c>
      <c r="W120" s="32" t="str">
        <f t="shared" si="106"/>
        <v>1-0.0016082739952502i</v>
      </c>
      <c r="X120" s="18">
        <f t="shared" si="120"/>
        <v>1.0000012932717857</v>
      </c>
      <c r="Y120" s="18">
        <f t="shared" si="121"/>
        <v>-1.6082726086278677E-3</v>
      </c>
      <c r="Z120" s="32" t="str">
        <f t="shared" si="107"/>
        <v>0.999999956140872+0.000789335394116539i</v>
      </c>
      <c r="AA120" s="18">
        <f t="shared" si="122"/>
        <v>1.0000002676660193</v>
      </c>
      <c r="AB120" s="18">
        <f t="shared" si="123"/>
        <v>7.8933526480424077E-4</v>
      </c>
      <c r="AC120" s="68" t="str">
        <f t="shared" si="124"/>
        <v>21.9307513622749-5.50141262734325i</v>
      </c>
      <c r="AD120" s="66">
        <f t="shared" si="125"/>
        <v>27.086107211528549</v>
      </c>
      <c r="AE120" s="63">
        <f t="shared" si="126"/>
        <v>-14.082276515737716</v>
      </c>
      <c r="AF120" s="51" t="e">
        <f t="shared" si="127"/>
        <v>#NUM!</v>
      </c>
      <c r="AG120" s="51" t="str">
        <f t="shared" si="108"/>
        <v>1-0.349360973786396i</v>
      </c>
      <c r="AH120" s="51">
        <f t="shared" si="128"/>
        <v>1.0592700741571901</v>
      </c>
      <c r="AI120" s="51">
        <f t="shared" si="129"/>
        <v>-0.33610541760813073</v>
      </c>
      <c r="AJ120" s="51" t="str">
        <f t="shared" si="109"/>
        <v>1+0.00116453657928798i</v>
      </c>
      <c r="AK120" s="51">
        <f t="shared" si="130"/>
        <v>1.0000006780724924</v>
      </c>
      <c r="AL120" s="51">
        <f t="shared" si="131"/>
        <v>1.1645360528614161E-3</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-0.000170731707317073</v>
      </c>
      <c r="AT120" s="32" t="str">
        <f t="shared" si="112"/>
        <v>0.0000250013502897985i</v>
      </c>
      <c r="AU120" s="32">
        <f t="shared" si="137"/>
        <v>2.50013502897985E-5</v>
      </c>
      <c r="AV120" s="32">
        <f t="shared" si="138"/>
        <v>1.5707963267948966</v>
      </c>
      <c r="AW120" s="32" t="str">
        <f t="shared" si="113"/>
        <v>1+0.00532300216973382i</v>
      </c>
      <c r="AX120" s="32">
        <f t="shared" si="139"/>
        <v>1.0000141670756966</v>
      </c>
      <c r="AY120" s="32">
        <f t="shared" si="140"/>
        <v>5.3229518959826017E-3</v>
      </c>
      <c r="AZ120" s="32" t="str">
        <f t="shared" si="114"/>
        <v>1+0.101137041224943i</v>
      </c>
      <c r="BA120" s="32">
        <f t="shared" si="141"/>
        <v>1.0051013387254719</v>
      </c>
      <c r="BB120" s="32">
        <f t="shared" si="142"/>
        <v>0.1007943086821962</v>
      </c>
      <c r="BC120" s="60" t="str">
        <f t="shared" si="143"/>
        <v>-0.654285900122198+6.83238221821824i</v>
      </c>
      <c r="BD120" s="51">
        <f t="shared" si="144"/>
        <v>16.731088342379849</v>
      </c>
      <c r="BE120" s="63">
        <f t="shared" si="145"/>
        <v>95.470105808237705</v>
      </c>
      <c r="BF120" s="60" t="str">
        <f t="shared" si="146"/>
        <v>23.2387724147192+153.438772352597i</v>
      </c>
      <c r="BG120" s="66">
        <f t="shared" si="147"/>
        <v>43.817195553908377</v>
      </c>
      <c r="BH120" s="63">
        <f t="shared" si="148"/>
        <v>81.387829292499973</v>
      </c>
      <c r="BI120" s="60" t="e">
        <f t="shared" si="152"/>
        <v>#NUM!</v>
      </c>
      <c r="BJ120" s="66" t="e">
        <f t="shared" si="149"/>
        <v>#NUM!</v>
      </c>
      <c r="BK120" s="63" t="e">
        <f t="shared" si="153"/>
        <v>#NUM!</v>
      </c>
      <c r="BL120" s="51">
        <f t="shared" si="150"/>
        <v>43.817195553908377</v>
      </c>
      <c r="BM120" s="63">
        <f t="shared" si="151"/>
        <v>81.387829292499973</v>
      </c>
    </row>
    <row r="121" spans="14:65" x14ac:dyDescent="0.3">
      <c r="N121" s="11">
        <v>3</v>
      </c>
      <c r="O121" s="52">
        <f t="shared" si="154"/>
        <v>107.15193052376065</v>
      </c>
      <c r="P121" s="50" t="str">
        <f t="shared" si="103"/>
        <v>23.3035714285714</v>
      </c>
      <c r="Q121" s="18" t="str">
        <f t="shared" si="104"/>
        <v>1+0.255356168751427i</v>
      </c>
      <c r="R121" s="18">
        <f t="shared" si="116"/>
        <v>1.032088548972135</v>
      </c>
      <c r="S121" s="18">
        <f t="shared" si="117"/>
        <v>0.25001337541162383</v>
      </c>
      <c r="T121" s="18" t="str">
        <f t="shared" si="105"/>
        <v>1+0.00119166212083999i</v>
      </c>
      <c r="U121" s="18">
        <f t="shared" si="118"/>
        <v>1.0000007100290531</v>
      </c>
      <c r="V121" s="18">
        <f t="shared" si="119"/>
        <v>1.1916615567637856E-3</v>
      </c>
      <c r="W121" s="32" t="str">
        <f t="shared" si="106"/>
        <v>1-0.0016457355090069i</v>
      </c>
      <c r="X121" s="18">
        <f t="shared" si="120"/>
        <v>1.0000013542217658</v>
      </c>
      <c r="Y121" s="18">
        <f t="shared" si="121"/>
        <v>-1.6457340232144103E-3</v>
      </c>
      <c r="Z121" s="32" t="str">
        <f t="shared" si="107"/>
        <v>0.999999954073855+0.000807721377358622i</v>
      </c>
      <c r="AA121" s="18">
        <f t="shared" si="122"/>
        <v>1.0000002802807284</v>
      </c>
      <c r="AB121" s="18">
        <f t="shared" si="123"/>
        <v>8.0772123879799989E-4</v>
      </c>
      <c r="AC121" s="68" t="str">
        <f t="shared" si="124"/>
        <v>21.8700129044145-5.61404705020778i</v>
      </c>
      <c r="AD121" s="66">
        <f t="shared" si="125"/>
        <v>27.074125997154724</v>
      </c>
      <c r="AE121" s="63">
        <f t="shared" si="126"/>
        <v>-14.397006686832786</v>
      </c>
      <c r="AF121" s="51" t="e">
        <f t="shared" si="127"/>
        <v>#NUM!</v>
      </c>
      <c r="AG121" s="51" t="str">
        <f t="shared" si="108"/>
        <v>1-0.357498636251999i</v>
      </c>
      <c r="AH121" s="51">
        <f t="shared" si="128"/>
        <v>1.0619817676975623</v>
      </c>
      <c r="AI121" s="51">
        <f t="shared" si="129"/>
        <v>-0.34333943746038764</v>
      </c>
      <c r="AJ121" s="51" t="str">
        <f t="shared" si="109"/>
        <v>1+0.00119166212083999i</v>
      </c>
      <c r="AK121" s="51">
        <f t="shared" si="130"/>
        <v>1.0000007100290531</v>
      </c>
      <c r="AL121" s="51">
        <f t="shared" si="131"/>
        <v>1.1916615567637856E-3</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-0.000170731707317073</v>
      </c>
      <c r="AT121" s="32" t="str">
        <f t="shared" si="112"/>
        <v>0.0000255837065491072i</v>
      </c>
      <c r="AU121" s="32">
        <f t="shared" si="137"/>
        <v>2.5583706549107201E-5</v>
      </c>
      <c r="AV121" s="32">
        <f t="shared" si="138"/>
        <v>1.5707963267948966</v>
      </c>
      <c r="AW121" s="32" t="str">
        <f t="shared" si="113"/>
        <v>1+0.00544699081818387i</v>
      </c>
      <c r="AX121" s="32">
        <f t="shared" si="139"/>
        <v>1.000014834744452</v>
      </c>
      <c r="AY121" s="32">
        <f t="shared" si="140"/>
        <v>5.4469369489320522E-3</v>
      </c>
      <c r="AZ121" s="32" t="str">
        <f t="shared" si="114"/>
        <v>1+0.103492825545494i</v>
      </c>
      <c r="BA121" s="32">
        <f t="shared" si="141"/>
        <v>1.0053411186952368</v>
      </c>
      <c r="BB121" s="32">
        <f t="shared" si="142"/>
        <v>0.10312568630258086</v>
      </c>
      <c r="BC121" s="60" t="str">
        <f t="shared" si="143"/>
        <v>-0.654285026442946+6.67701860812124i</v>
      </c>
      <c r="BD121" s="51">
        <f t="shared" si="144"/>
        <v>16.533154427748237</v>
      </c>
      <c r="BE121" s="63">
        <f t="shared" si="145"/>
        <v>95.596580086080294</v>
      </c>
      <c r="BF121" s="60" t="str">
        <f t="shared" si="146"/>
        <v>23.1758746496331+149.699670045324i</v>
      </c>
      <c r="BG121" s="66">
        <f t="shared" si="147"/>
        <v>43.607280424902939</v>
      </c>
      <c r="BH121" s="63">
        <f t="shared" si="148"/>
        <v>81.199573399247484</v>
      </c>
      <c r="BI121" s="60" t="e">
        <f t="shared" si="152"/>
        <v>#NUM!</v>
      </c>
      <c r="BJ121" s="66" t="e">
        <f t="shared" si="149"/>
        <v>#NUM!</v>
      </c>
      <c r="BK121" s="63" t="e">
        <f t="shared" si="153"/>
        <v>#NUM!</v>
      </c>
      <c r="BL121" s="51">
        <f t="shared" si="150"/>
        <v>43.607280424902939</v>
      </c>
      <c r="BM121" s="63">
        <f t="shared" si="151"/>
        <v>81.199573399247484</v>
      </c>
    </row>
    <row r="122" spans="14:65" x14ac:dyDescent="0.3">
      <c r="N122" s="11">
        <v>4</v>
      </c>
      <c r="O122" s="52">
        <f t="shared" si="154"/>
        <v>109.64781961431861</v>
      </c>
      <c r="P122" s="50" t="str">
        <f t="shared" si="103"/>
        <v>23.3035714285714</v>
      </c>
      <c r="Q122" s="18" t="str">
        <f t="shared" si="104"/>
        <v>1+0.261304178018997i</v>
      </c>
      <c r="R122" s="18">
        <f t="shared" si="116"/>
        <v>1.0335762542987255</v>
      </c>
      <c r="S122" s="18">
        <f t="shared" si="117"/>
        <v>0.25558926806550886</v>
      </c>
      <c r="T122" s="18" t="str">
        <f t="shared" si="105"/>
        <v>1+0.00121941949742199i</v>
      </c>
      <c r="U122" s="18">
        <f t="shared" si="118"/>
        <v>1.0000007434916789</v>
      </c>
      <c r="V122" s="18">
        <f t="shared" si="119"/>
        <v>1.2194188930034714E-3</v>
      </c>
      <c r="W122" s="32" t="str">
        <f t="shared" si="106"/>
        <v>1-0.00168406961351436i</v>
      </c>
      <c r="X122" s="18">
        <f t="shared" si="120"/>
        <v>1.000001418044226</v>
      </c>
      <c r="Y122" s="18">
        <f t="shared" si="121"/>
        <v>-1.6840680214591458E-3</v>
      </c>
      <c r="Z122" s="32" t="str">
        <f t="shared" si="107"/>
        <v>0.999999951909423+0.000826535625166436i</v>
      </c>
      <c r="AA122" s="18">
        <f t="shared" si="122"/>
        <v>1.000000293489951</v>
      </c>
      <c r="AB122" s="18">
        <f t="shared" si="123"/>
        <v>8.2653547669605642E-4</v>
      </c>
      <c r="AC122" s="68" t="str">
        <f t="shared" si="124"/>
        <v>21.8067696160958-5.72828927030463i</v>
      </c>
      <c r="AD122" s="66">
        <f t="shared" si="125"/>
        <v>27.061615456000933</v>
      </c>
      <c r="AE122" s="63">
        <f t="shared" si="126"/>
        <v>-14.718165777438944</v>
      </c>
      <c r="AF122" s="51" t="e">
        <f t="shared" si="127"/>
        <v>#NUM!</v>
      </c>
      <c r="AG122" s="51" t="str">
        <f t="shared" si="108"/>
        <v>1-0.365825849226597i</v>
      </c>
      <c r="AH122" s="51">
        <f t="shared" si="128"/>
        <v>1.0648138578936512</v>
      </c>
      <c r="AI122" s="51">
        <f t="shared" si="129"/>
        <v>-0.3507034215590355</v>
      </c>
      <c r="AJ122" s="51" t="str">
        <f t="shared" si="109"/>
        <v>1+0.00121941949742199i</v>
      </c>
      <c r="AK122" s="51">
        <f t="shared" si="130"/>
        <v>1.0000007434916789</v>
      </c>
      <c r="AL122" s="51">
        <f t="shared" si="131"/>
        <v>1.2194188930034714E-3</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-0.000170731707317073</v>
      </c>
      <c r="AT122" s="32" t="str">
        <f t="shared" si="112"/>
        <v>0.0000261796276282686i</v>
      </c>
      <c r="AU122" s="32">
        <f t="shared" si="137"/>
        <v>2.6179627628268599E-5</v>
      </c>
      <c r="AV122" s="32">
        <f t="shared" si="138"/>
        <v>1.5707963267948966</v>
      </c>
      <c r="AW122" s="32" t="str">
        <f t="shared" si="113"/>
        <v>1+0.00557386753326516i</v>
      </c>
      <c r="AX122" s="32">
        <f t="shared" si="139"/>
        <v>1.0000155338789884</v>
      </c>
      <c r="AY122" s="32">
        <f t="shared" si="140"/>
        <v>5.573809811370305E-3</v>
      </c>
      <c r="AZ122" s="32" t="str">
        <f t="shared" si="114"/>
        <v>1+0.105903483132038i</v>
      </c>
      <c r="BA122" s="32">
        <f t="shared" si="141"/>
        <v>1.0055921378667885</v>
      </c>
      <c r="BB122" s="32">
        <f t="shared" si="142"/>
        <v>0.10551020440398182</v>
      </c>
      <c r="BC122" s="60" t="str">
        <f t="shared" si="143"/>
        <v>-0.654284111590956+6.52519524122239i</v>
      </c>
      <c r="BD122" s="51">
        <f t="shared" si="144"/>
        <v>16.335316825844721</v>
      </c>
      <c r="BE122" s="63">
        <f t="shared" si="145"/>
        <v>95.725933629910656</v>
      </c>
      <c r="BF122" s="60" t="str">
        <f t="shared" si="146"/>
        <v>23.1103830020012+146.041357981539i</v>
      </c>
      <c r="BG122" s="66">
        <f t="shared" si="147"/>
        <v>43.396932281845679</v>
      </c>
      <c r="BH122" s="63">
        <f t="shared" si="148"/>
        <v>81.00776785247173</v>
      </c>
      <c r="BI122" s="60" t="e">
        <f t="shared" si="152"/>
        <v>#NUM!</v>
      </c>
      <c r="BJ122" s="66" t="e">
        <f t="shared" si="149"/>
        <v>#NUM!</v>
      </c>
      <c r="BK122" s="63" t="e">
        <f t="shared" si="153"/>
        <v>#NUM!</v>
      </c>
      <c r="BL122" s="51">
        <f t="shared" si="150"/>
        <v>43.396932281845679</v>
      </c>
      <c r="BM122" s="63">
        <f t="shared" si="151"/>
        <v>81.00776785247173</v>
      </c>
    </row>
    <row r="123" spans="14:65" x14ac:dyDescent="0.3">
      <c r="N123" s="11">
        <v>5</v>
      </c>
      <c r="O123" s="52">
        <f t="shared" si="154"/>
        <v>112.20184543019634</v>
      </c>
      <c r="P123" s="50" t="str">
        <f t="shared" si="103"/>
        <v>23.3035714285714</v>
      </c>
      <c r="Q123" s="18" t="str">
        <f t="shared" si="104"/>
        <v>1+0.267390734220522i</v>
      </c>
      <c r="R123" s="18">
        <f t="shared" si="116"/>
        <v>1.0351317813433176</v>
      </c>
      <c r="S123" s="18">
        <f t="shared" si="117"/>
        <v>0.26127826648623059</v>
      </c>
      <c r="T123" s="18" t="str">
        <f t="shared" si="105"/>
        <v>1+0.00124782342636244i</v>
      </c>
      <c r="U123" s="18">
        <f t="shared" si="118"/>
        <v>1.0000007785313487</v>
      </c>
      <c r="V123" s="18">
        <f t="shared" si="119"/>
        <v>1.2478227787163564E-3</v>
      </c>
      <c r="W123" s="32" t="str">
        <f t="shared" si="106"/>
        <v>1-0.0017232966340222i</v>
      </c>
      <c r="X123" s="18">
        <f t="shared" si="120"/>
        <v>1.000001484874542</v>
      </c>
      <c r="Y123" s="18">
        <f t="shared" si="121"/>
        <v>-1.7232949281044397E-3</v>
      </c>
      <c r="Z123" s="32" t="str">
        <f t="shared" si="107"/>
        <v>0.999999949642984+0.000845788113103206i</v>
      </c>
      <c r="AA123" s="18">
        <f t="shared" si="122"/>
        <v>1.0000003073217041</v>
      </c>
      <c r="AB123" s="18">
        <f t="shared" si="123"/>
        <v>8.4578795401433072E-4</v>
      </c>
      <c r="AC123" s="68" t="str">
        <f t="shared" si="124"/>
        <v>21.7409345802182-5.84411459050971i</v>
      </c>
      <c r="AD123" s="66">
        <f t="shared" si="125"/>
        <v>27.048553827590851</v>
      </c>
      <c r="AE123" s="63">
        <f t="shared" si="126"/>
        <v>-15.045844575719411</v>
      </c>
      <c r="AF123" s="51" t="e">
        <f t="shared" si="127"/>
        <v>#NUM!</v>
      </c>
      <c r="AG123" s="51" t="str">
        <f t="shared" si="108"/>
        <v>1-0.374347027908732i</v>
      </c>
      <c r="AH123" s="51">
        <f t="shared" si="128"/>
        <v>1.0677713693970732</v>
      </c>
      <c r="AI123" s="51">
        <f t="shared" si="129"/>
        <v>-0.358198078728858</v>
      </c>
      <c r="AJ123" s="51" t="str">
        <f t="shared" si="109"/>
        <v>1+0.00124782342636244i</v>
      </c>
      <c r="AK123" s="51">
        <f t="shared" si="130"/>
        <v>1.0000007785313487</v>
      </c>
      <c r="AL123" s="51">
        <f t="shared" si="131"/>
        <v>1.2478227787163564E-3</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-0.000170731707317073</v>
      </c>
      <c r="AT123" s="32" t="str">
        <f t="shared" si="112"/>
        <v>0.0000267894294925269i</v>
      </c>
      <c r="AU123" s="32">
        <f t="shared" si="137"/>
        <v>2.6789429492526901E-5</v>
      </c>
      <c r="AV123" s="32">
        <f t="shared" si="138"/>
        <v>1.5707963267948966</v>
      </c>
      <c r="AW123" s="32" t="str">
        <f t="shared" si="113"/>
        <v>1+0.00570369958669146i</v>
      </c>
      <c r="AX123" s="32">
        <f t="shared" si="139"/>
        <v>1.0000162659621967</v>
      </c>
      <c r="AY123" s="32">
        <f t="shared" si="140"/>
        <v>5.7036377366211219E-3</v>
      </c>
      <c r="AZ123" s="32" t="str">
        <f t="shared" si="114"/>
        <v>1+0.108370292147138i</v>
      </c>
      <c r="BA123" s="32">
        <f t="shared" si="141"/>
        <v>1.0058549200655411</v>
      </c>
      <c r="BB123" s="32">
        <f t="shared" si="142"/>
        <v>0.10794901876467494</v>
      </c>
      <c r="BC123" s="60" t="str">
        <f t="shared" si="143"/>
        <v>-0.654283153626068+6.37683161873084i</v>
      </c>
      <c r="BD123" s="51">
        <f t="shared" si="144"/>
        <v>16.137579974749588</v>
      </c>
      <c r="BE123" s="63">
        <f t="shared" si="145"/>
        <v>95.858228807614466</v>
      </c>
      <c r="BF123" s="60" t="str">
        <f t="shared" si="146"/>
        <v>23.0422074643254+142.461984776325i</v>
      </c>
      <c r="BG123" s="66">
        <f t="shared" si="147"/>
        <v>43.186133802340443</v>
      </c>
      <c r="BH123" s="63">
        <f t="shared" si="148"/>
        <v>80.812384231895038</v>
      </c>
      <c r="BI123" s="60" t="e">
        <f t="shared" si="152"/>
        <v>#NUM!</v>
      </c>
      <c r="BJ123" s="66" t="e">
        <f t="shared" si="149"/>
        <v>#NUM!</v>
      </c>
      <c r="BK123" s="63" t="e">
        <f t="shared" si="153"/>
        <v>#NUM!</v>
      </c>
      <c r="BL123" s="51">
        <f t="shared" si="150"/>
        <v>43.186133802340443</v>
      </c>
      <c r="BM123" s="63">
        <f t="shared" si="151"/>
        <v>80.812384231895038</v>
      </c>
    </row>
    <row r="124" spans="14:65" x14ac:dyDescent="0.3">
      <c r="N124" s="11">
        <v>6</v>
      </c>
      <c r="O124" s="52">
        <f t="shared" si="154"/>
        <v>114.81536214968835</v>
      </c>
      <c r="P124" s="50" t="str">
        <f t="shared" si="103"/>
        <v>23.3035714285714</v>
      </c>
      <c r="Q124" s="18" t="str">
        <f t="shared" si="104"/>
        <v>1+0.273619064528666i</v>
      </c>
      <c r="R124" s="18">
        <f t="shared" si="116"/>
        <v>1.0367581166663429</v>
      </c>
      <c r="S124" s="18">
        <f t="shared" si="117"/>
        <v>0.26708191346641247</v>
      </c>
      <c r="T124" s="18" t="str">
        <f t="shared" si="105"/>
        <v>1+0.00127688896780044i</v>
      </c>
      <c r="U124" s="18">
        <f t="shared" si="118"/>
        <v>1.0000008152223856</v>
      </c>
      <c r="V124" s="18">
        <f t="shared" si="119"/>
        <v>1.2768882738351888E-3</v>
      </c>
      <c r="W124" s="32" t="str">
        <f t="shared" si="106"/>
        <v>1-0.00176343736921593i</v>
      </c>
      <c r="X124" s="18">
        <f t="shared" si="120"/>
        <v>1.0000015548544687</v>
      </c>
      <c r="Y124" s="18">
        <f t="shared" si="121"/>
        <v>-1.7634355412922702E-3</v>
      </c>
      <c r="Z124" s="32" t="str">
        <f t="shared" si="107"/>
        <v>0.99999994726973+0.000865489049092873i</v>
      </c>
      <c r="AA124" s="18">
        <f t="shared" si="122"/>
        <v>1.0000003218053268</v>
      </c>
      <c r="AB124" s="18">
        <f t="shared" si="123"/>
        <v>8.6548887862607563E-4</v>
      </c>
      <c r="AC124" s="68" t="str">
        <f t="shared" si="124"/>
        <v>21.6724193320932-5.96149442956082i</v>
      </c>
      <c r="AD124" s="66">
        <f t="shared" si="125"/>
        <v>27.034918602538514</v>
      </c>
      <c r="AE124" s="63">
        <f t="shared" si="126"/>
        <v>-15.38013239082345</v>
      </c>
      <c r="AF124" s="51" t="e">
        <f t="shared" si="127"/>
        <v>#NUM!</v>
      </c>
      <c r="AG124" s="51" t="str">
        <f t="shared" si="108"/>
        <v>1-0.383066690340134i</v>
      </c>
      <c r="AH124" s="51">
        <f t="shared" si="128"/>
        <v>1.0708595095754363</v>
      </c>
      <c r="AI124" s="51">
        <f t="shared" si="129"/>
        <v>-0.36582401395559916</v>
      </c>
      <c r="AJ124" s="51" t="str">
        <f t="shared" si="109"/>
        <v>1+0.00127688896780044i</v>
      </c>
      <c r="AK124" s="51">
        <f t="shared" si="130"/>
        <v>1.0000008152223856</v>
      </c>
      <c r="AL124" s="51">
        <f t="shared" si="131"/>
        <v>1.2768882738351888E-3</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-0.000170731707317073</v>
      </c>
      <c r="AT124" s="32" t="str">
        <f t="shared" si="112"/>
        <v>0.0000274134354669022i</v>
      </c>
      <c r="AU124" s="32">
        <f t="shared" si="137"/>
        <v>2.7413435466902199E-5</v>
      </c>
      <c r="AV124" s="32">
        <f t="shared" si="138"/>
        <v>1.5707963267948966</v>
      </c>
      <c r="AW124" s="32" t="str">
        <f t="shared" si="113"/>
        <v>1+0.005836555817136i</v>
      </c>
      <c r="AX124" s="32">
        <f t="shared" si="139"/>
        <v>1.0000170325468494</v>
      </c>
      <c r="AY124" s="32">
        <f t="shared" si="140"/>
        <v>5.8364895436525668E-3</v>
      </c>
      <c r="AZ124" s="32" t="str">
        <f t="shared" si="114"/>
        <v>1+0.110894560525584i</v>
      </c>
      <c r="BA124" s="32">
        <f t="shared" si="141"/>
        <v>1.0061300132458839</v>
      </c>
      <c r="BB124" s="32">
        <f t="shared" si="142"/>
        <v>0.11044330636815743</v>
      </c>
      <c r="BC124" s="60" t="str">
        <f t="shared" si="143"/>
        <v>-0.654282150516686+6.23184907625575i</v>
      </c>
      <c r="BD124" s="51">
        <f t="shared" si="144"/>
        <v>15.939948512129012</v>
      </c>
      <c r="BE124" s="63">
        <f t="shared" si="145"/>
        <v>95.993529112342216</v>
      </c>
      <c r="BF124" s="60" t="str">
        <f t="shared" si="146"/>
        <v>22.9712564264611+138.959745790599i</v>
      </c>
      <c r="BG124" s="66">
        <f t="shared" si="147"/>
        <v>42.974867114667546</v>
      </c>
      <c r="BH124" s="63">
        <f t="shared" si="148"/>
        <v>80.613396721518782</v>
      </c>
      <c r="BI124" s="60" t="e">
        <f t="shared" si="152"/>
        <v>#NUM!</v>
      </c>
      <c r="BJ124" s="66" t="e">
        <f t="shared" si="149"/>
        <v>#NUM!</v>
      </c>
      <c r="BK124" s="63" t="e">
        <f t="shared" si="153"/>
        <v>#NUM!</v>
      </c>
      <c r="BL124" s="51">
        <f t="shared" si="150"/>
        <v>42.974867114667546</v>
      </c>
      <c r="BM124" s="63">
        <f t="shared" si="151"/>
        <v>80.613396721518782</v>
      </c>
    </row>
    <row r="125" spans="14:65" x14ac:dyDescent="0.3">
      <c r="N125" s="11">
        <v>7</v>
      </c>
      <c r="O125" s="52">
        <f t="shared" si="154"/>
        <v>117.48975549395293</v>
      </c>
      <c r="P125" s="50" t="str">
        <f t="shared" si="103"/>
        <v>23.3035714285714</v>
      </c>
      <c r="Q125" s="18" t="str">
        <f t="shared" si="104"/>
        <v>1+0.279992471286599i</v>
      </c>
      <c r="R125" s="18">
        <f t="shared" si="116"/>
        <v>1.0384583689186471</v>
      </c>
      <c r="S125" s="18">
        <f t="shared" si="117"/>
        <v>0.27300172169936088</v>
      </c>
      <c r="T125" s="18" t="str">
        <f t="shared" si="105"/>
        <v>1+0.0013066315326708i</v>
      </c>
      <c r="U125" s="18">
        <f t="shared" si="118"/>
        <v>1.0000008536426168</v>
      </c>
      <c r="V125" s="18">
        <f t="shared" si="119"/>
        <v>1.3066307890736706E-3</v>
      </c>
      <c r="W125" s="32" t="str">
        <f t="shared" si="106"/>
        <v>1-0.00180451310224467i</v>
      </c>
      <c r="X125" s="18">
        <f t="shared" si="120"/>
        <v>1.0000016281324426</v>
      </c>
      <c r="Y125" s="18">
        <f t="shared" si="121"/>
        <v>-1.8045111435893522E-3</v>
      </c>
      <c r="Z125" s="32" t="str">
        <f t="shared" si="107"/>
        <v>0.999999944784629+0.00088564887883247i</v>
      </c>
      <c r="AA125" s="18">
        <f t="shared" si="122"/>
        <v>1.000000336971542</v>
      </c>
      <c r="AB125" s="18">
        <f t="shared" si="123"/>
        <v>8.856486961740089E-4</v>
      </c>
      <c r="AC125" s="68" t="str">
        <f t="shared" si="124"/>
        <v>21.6011339733857-6.08039611072263i</v>
      </c>
      <c r="AD125" s="66">
        <f t="shared" si="125"/>
        <v>27.020686509810549</v>
      </c>
      <c r="AE125" s="63">
        <f t="shared" si="126"/>
        <v>-15.721116828616674</v>
      </c>
      <c r="AF125" s="51" t="e">
        <f t="shared" si="127"/>
        <v>#NUM!</v>
      </c>
      <c r="AG125" s="51" t="str">
        <f t="shared" si="108"/>
        <v>1-0.39198945980124i</v>
      </c>
      <c r="AH125" s="51">
        <f t="shared" si="128"/>
        <v>1.07408367299539</v>
      </c>
      <c r="AI125" s="51">
        <f t="shared" si="129"/>
        <v>-0.37358172172177151</v>
      </c>
      <c r="AJ125" s="51" t="str">
        <f t="shared" si="109"/>
        <v>1+0.0013066315326708i</v>
      </c>
      <c r="AK125" s="51">
        <f t="shared" si="130"/>
        <v>1.0000008536426168</v>
      </c>
      <c r="AL125" s="51">
        <f t="shared" si="131"/>
        <v>1.3066307890736706E-3</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-0.000170731707317073</v>
      </c>
      <c r="AT125" s="32" t="str">
        <f t="shared" si="112"/>
        <v>0.0000280519764076216i</v>
      </c>
      <c r="AU125" s="32">
        <f t="shared" si="137"/>
        <v>2.8051976407621602E-5</v>
      </c>
      <c r="AV125" s="32">
        <f t="shared" si="138"/>
        <v>1.5707963267948966</v>
      </c>
      <c r="AW125" s="32" t="str">
        <f t="shared" si="113"/>
        <v>1+0.00597250666673073i</v>
      </c>
      <c r="AX125" s="32">
        <f t="shared" si="139"/>
        <v>1.0000178352588938</v>
      </c>
      <c r="AY125" s="32">
        <f t="shared" si="140"/>
        <v>5.9724356534822101E-3</v>
      </c>
      <c r="AZ125" s="32" t="str">
        <f t="shared" si="114"/>
        <v>1+0.113477626667884i</v>
      </c>
      <c r="BA125" s="32">
        <f t="shared" si="141"/>
        <v>1.0064179905755737</v>
      </c>
      <c r="BB125" s="32">
        <f t="shared" si="142"/>
        <v>0.11299426550618025</v>
      </c>
      <c r="BC125" s="60" t="str">
        <f t="shared" si="143"/>
        <v>-0.654281100135519+6.09017074209722i</v>
      </c>
      <c r="BD125" s="51">
        <f t="shared" si="144"/>
        <v>15.742427283742288</v>
      </c>
      <c r="BE125" s="63">
        <f t="shared" si="145"/>
        <v>96.131899166326789</v>
      </c>
      <c r="BF125" s="60" t="str">
        <f t="shared" si="146"/>
        <v>22.8974367936032+135.532882377419i</v>
      </c>
      <c r="BG125" s="66">
        <f t="shared" si="147"/>
        <v>42.763113793552833</v>
      </c>
      <c r="BH125" s="63">
        <f t="shared" si="148"/>
        <v>80.410782337710103</v>
      </c>
      <c r="BI125" s="60" t="e">
        <f t="shared" si="152"/>
        <v>#NUM!</v>
      </c>
      <c r="BJ125" s="66" t="e">
        <f t="shared" si="149"/>
        <v>#NUM!</v>
      </c>
      <c r="BK125" s="63" t="e">
        <f t="shared" si="153"/>
        <v>#NUM!</v>
      </c>
      <c r="BL125" s="51">
        <f t="shared" si="150"/>
        <v>42.763113793552833</v>
      </c>
      <c r="BM125" s="63">
        <f t="shared" si="151"/>
        <v>80.410782337710103</v>
      </c>
    </row>
    <row r="126" spans="14:65" x14ac:dyDescent="0.3">
      <c r="N126" s="11">
        <v>8</v>
      </c>
      <c r="O126" s="52">
        <f t="shared" si="154"/>
        <v>120.22644346174135</v>
      </c>
      <c r="P126" s="50" t="str">
        <f t="shared" si="103"/>
        <v>23.3035714285714</v>
      </c>
      <c r="Q126" s="18" t="str">
        <f t="shared" si="104"/>
        <v>1+0.286514333758948i</v>
      </c>
      <c r="R126" s="18">
        <f t="shared" si="116"/>
        <v>1.0402357730098182</v>
      </c>
      <c r="S126" s="18">
        <f t="shared" si="117"/>
        <v>0.27903916964710329</v>
      </c>
      <c r="T126" s="18" t="str">
        <f t="shared" si="105"/>
        <v>1+0.00133706689087509i</v>
      </c>
      <c r="U126" s="18">
        <f t="shared" si="118"/>
        <v>1.0000008938735359</v>
      </c>
      <c r="V126" s="18">
        <f t="shared" si="119"/>
        <v>1.337066094096449E-3</v>
      </c>
      <c r="W126" s="32" t="str">
        <f t="shared" si="106"/>
        <v>1-0.00184654561200577i</v>
      </c>
      <c r="X126" s="18">
        <f t="shared" si="120"/>
        <v>1.0000017048638954</v>
      </c>
      <c r="Y126" s="18">
        <f t="shared" si="121"/>
        <v>-1.8465435132689781E-3</v>
      </c>
      <c r="Z126" s="32" t="str">
        <f t="shared" si="107"/>
        <v>0.999999942182409+0.000906278291330574i</v>
      </c>
      <c r="AA126" s="18">
        <f t="shared" si="122"/>
        <v>1.0000003528525192</v>
      </c>
      <c r="AB126" s="18">
        <f t="shared" si="123"/>
        <v>9.0627809560851009E-4</v>
      </c>
      <c r="AC126" s="68" t="str">
        <f t="shared" si="124"/>
        <v>21.5269873022109-6.20078264756958i</v>
      </c>
      <c r="AD126" s="66">
        <f t="shared" si="125"/>
        <v>27.005833505029528</v>
      </c>
      <c r="AE126" s="63">
        <f t="shared" si="126"/>
        <v>-16.068883555433288</v>
      </c>
      <c r="AF126" s="51" t="e">
        <f t="shared" si="127"/>
        <v>#NUM!</v>
      </c>
      <c r="AG126" s="51" t="str">
        <f t="shared" si="108"/>
        <v>1-0.401120067262528i</v>
      </c>
      <c r="AH126" s="51">
        <f t="shared" si="128"/>
        <v>1.0774494458491755</v>
      </c>
      <c r="AI126" s="51">
        <f t="shared" si="129"/>
        <v>-0.38147157924872543</v>
      </c>
      <c r="AJ126" s="51" t="str">
        <f t="shared" si="109"/>
        <v>1+0.00133706689087509i</v>
      </c>
      <c r="AK126" s="51">
        <f t="shared" si="130"/>
        <v>1.0000008938735359</v>
      </c>
      <c r="AL126" s="51">
        <f t="shared" si="131"/>
        <v>1.337066094096449E-3</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-0.000170731707317073</v>
      </c>
      <c r="AT126" s="32" t="str">
        <f t="shared" si="112"/>
        <v>0.0000287053908775443i</v>
      </c>
      <c r="AU126" s="32">
        <f t="shared" si="137"/>
        <v>2.8705390877544301E-5</v>
      </c>
      <c r="AV126" s="32">
        <f t="shared" si="138"/>
        <v>1.5707963267948966</v>
      </c>
      <c r="AW126" s="32" t="str">
        <f t="shared" si="113"/>
        <v>1+0.00611162421841566i</v>
      </c>
      <c r="AX126" s="32">
        <f t="shared" si="139"/>
        <v>1.0000186758009009</v>
      </c>
      <c r="AY126" s="32">
        <f t="shared" si="140"/>
        <v>6.1115481264256925E-3</v>
      </c>
      <c r="AZ126" s="32" t="str">
        <f t="shared" si="114"/>
        <v>1+0.116120860149898i</v>
      </c>
      <c r="BA126" s="32">
        <f t="shared" si="141"/>
        <v>1.0067194515663</v>
      </c>
      <c r="BB126" s="32">
        <f t="shared" si="142"/>
        <v>0.11560311585833584</v>
      </c>
      <c r="BC126" s="60" t="str">
        <f t="shared" si="143"/>
        <v>-0.654280000255027+5.9517214964876i</v>
      </c>
      <c r="BD126" s="51">
        <f t="shared" si="144"/>
        <v>15.545021352266652</v>
      </c>
      <c r="BE126" s="63">
        <f t="shared" si="145"/>
        <v>96.273404723309241</v>
      </c>
      <c r="BF126" s="60" t="str">
        <f t="shared" si="146"/>
        <v>22.8206541210067+132.179681153417i</v>
      </c>
      <c r="BG126" s="66">
        <f t="shared" si="147"/>
        <v>42.550854857296159</v>
      </c>
      <c r="BH126" s="63">
        <f t="shared" si="148"/>
        <v>80.204521167875924</v>
      </c>
      <c r="BI126" s="60" t="e">
        <f t="shared" si="152"/>
        <v>#NUM!</v>
      </c>
      <c r="BJ126" s="66" t="e">
        <f t="shared" si="149"/>
        <v>#NUM!</v>
      </c>
      <c r="BK126" s="63" t="e">
        <f t="shared" si="153"/>
        <v>#NUM!</v>
      </c>
      <c r="BL126" s="51">
        <f t="shared" si="150"/>
        <v>42.550854857296159</v>
      </c>
      <c r="BM126" s="63">
        <f t="shared" si="151"/>
        <v>80.204521167875924</v>
      </c>
    </row>
    <row r="127" spans="14:65" x14ac:dyDescent="0.3">
      <c r="N127" s="11">
        <v>9</v>
      </c>
      <c r="O127" s="52">
        <f t="shared" si="154"/>
        <v>123.02687708123821</v>
      </c>
      <c r="P127" s="50" t="str">
        <f t="shared" si="103"/>
        <v>23.3035714285714</v>
      </c>
      <c r="Q127" s="18" t="str">
        <f t="shared" si="104"/>
        <v>1+0.29318810992352i</v>
      </c>
      <c r="R127" s="18">
        <f t="shared" si="116"/>
        <v>1.0420936943483183</v>
      </c>
      <c r="S127" s="18">
        <f t="shared" si="117"/>
        <v>0.28519569719672877</v>
      </c>
      <c r="T127" s="18" t="str">
        <f t="shared" si="105"/>
        <v>1+0.0013682111796431i</v>
      </c>
      <c r="U127" s="18">
        <f t="shared" si="118"/>
        <v>1.000000936000478</v>
      </c>
      <c r="V127" s="18">
        <f t="shared" si="119"/>
        <v>1.3682103258794473E-3</v>
      </c>
      <c r="W127" s="32" t="str">
        <f t="shared" si="106"/>
        <v>1-0.00188955718469228i</v>
      </c>
      <c r="X127" s="18">
        <f t="shared" si="120"/>
        <v>1.0000017852115837</v>
      </c>
      <c r="Y127" s="18">
        <f t="shared" si="121"/>
        <v>-1.8895549358555076E-3</v>
      </c>
      <c r="Z127" s="32" t="str">
        <f t="shared" si="107"/>
        <v>0.99999993945755+0.000927388224574752i</v>
      </c>
      <c r="AA127" s="18">
        <f t="shared" si="122"/>
        <v>1.000000369481943</v>
      </c>
      <c r="AB127" s="18">
        <f t="shared" si="123"/>
        <v>9.2738801485478615E-4</v>
      </c>
      <c r="AC127" s="68" t="str">
        <f t="shared" si="124"/>
        <v>21.4498869603769-6.322612527776i</v>
      </c>
      <c r="AD127" s="66">
        <f t="shared" si="125"/>
        <v>26.990334759961318</v>
      </c>
      <c r="AE127" s="63">
        <f t="shared" si="126"/>
        <v>-16.423516049709249</v>
      </c>
      <c r="AF127" s="51" t="e">
        <f t="shared" si="127"/>
        <v>#NUM!</v>
      </c>
      <c r="AG127" s="51" t="str">
        <f t="shared" si="108"/>
        <v>1-0.410463353892929i</v>
      </c>
      <c r="AH127" s="51">
        <f t="shared" si="128"/>
        <v>1.0809626103103807</v>
      </c>
      <c r="AI127" s="51">
        <f t="shared" si="129"/>
        <v>-0.38949383967001544</v>
      </c>
      <c r="AJ127" s="51" t="str">
        <f t="shared" si="109"/>
        <v>1+0.0013682111796431i</v>
      </c>
      <c r="AK127" s="51">
        <f t="shared" si="130"/>
        <v>1.000000936000478</v>
      </c>
      <c r="AL127" s="51">
        <f t="shared" si="131"/>
        <v>1.3682103258794473E-3</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-0.000170731707317073</v>
      </c>
      <c r="AT127" s="32" t="str">
        <f t="shared" si="112"/>
        <v>0.0000293740253256709i</v>
      </c>
      <c r="AU127" s="32">
        <f t="shared" si="137"/>
        <v>2.9374025325670899E-5</v>
      </c>
      <c r="AV127" s="32">
        <f t="shared" si="138"/>
        <v>1.5707963267948966</v>
      </c>
      <c r="AW127" s="32" t="str">
        <f t="shared" si="113"/>
        <v>1+0.00625398223415808i</v>
      </c>
      <c r="AX127" s="32">
        <f t="shared" si="139"/>
        <v>1.0000195559556748</v>
      </c>
      <c r="AY127" s="32">
        <f t="shared" si="140"/>
        <v>6.2539007002079695E-3</v>
      </c>
      <c r="AZ127" s="32" t="str">
        <f t="shared" si="114"/>
        <v>1+0.118825662449004i</v>
      </c>
      <c r="BA127" s="32">
        <f t="shared" si="141"/>
        <v>1.0070350232521432</v>
      </c>
      <c r="BB127" s="32">
        <f t="shared" si="142"/>
        <v>0.1182710985460682</v>
      </c>
      <c r="BC127" s="60" t="str">
        <f t="shared" si="143"/>
        <v>-0.654278848542725+5.81642793176206i</v>
      </c>
      <c r="BD127" s="51">
        <f t="shared" si="144"/>
        <v>15.347736006447892</v>
      </c>
      <c r="BE127" s="63">
        <f t="shared" si="145"/>
        <v>96.418112669449727</v>
      </c>
      <c r="BF127" s="60" t="str">
        <f t="shared" si="146"/>
        <v>22.740812766458+128.89847329393i</v>
      </c>
      <c r="BG127" s="66">
        <f t="shared" si="147"/>
        <v>42.338070766409203</v>
      </c>
      <c r="BH127" s="63">
        <f t="shared" si="148"/>
        <v>79.994596619740491</v>
      </c>
      <c r="BI127" s="60" t="e">
        <f t="shared" si="152"/>
        <v>#NUM!</v>
      </c>
      <c r="BJ127" s="66" t="e">
        <f t="shared" si="149"/>
        <v>#NUM!</v>
      </c>
      <c r="BK127" s="63" t="e">
        <f t="shared" si="153"/>
        <v>#NUM!</v>
      </c>
      <c r="BL127" s="51">
        <f t="shared" si="150"/>
        <v>42.338070766409203</v>
      </c>
      <c r="BM127" s="63">
        <f t="shared" si="151"/>
        <v>79.994596619740491</v>
      </c>
    </row>
    <row r="128" spans="14:65" x14ac:dyDescent="0.3">
      <c r="N128" s="11">
        <v>10</v>
      </c>
      <c r="O128" s="52">
        <f t="shared" si="154"/>
        <v>125.89254117941677</v>
      </c>
      <c r="P128" s="50" t="str">
        <f t="shared" si="103"/>
        <v>23.3035714285714</v>
      </c>
      <c r="Q128" s="18" t="str">
        <f t="shared" si="104"/>
        <v>1+0.300017338304778i</v>
      </c>
      <c r="R128" s="18">
        <f t="shared" si="116"/>
        <v>1.0440356331483536</v>
      </c>
      <c r="S128" s="18">
        <f t="shared" si="117"/>
        <v>0.29147270110359036</v>
      </c>
      <c r="T128" s="18" t="str">
        <f t="shared" si="105"/>
        <v>1+0.00140008091208896i</v>
      </c>
      <c r="U128" s="18">
        <f t="shared" si="118"/>
        <v>1.0000009801127998</v>
      </c>
      <c r="V128" s="18">
        <f t="shared" si="119"/>
        <v>1.4000799972647725E-3</v>
      </c>
      <c r="W128" s="32" t="str">
        <f t="shared" si="106"/>
        <v>1-0.00193357062560936i</v>
      </c>
      <c r="X128" s="18">
        <f t="shared" si="120"/>
        <v>1.0000018693459349</v>
      </c>
      <c r="Y128" s="18">
        <f t="shared" si="121"/>
        <v>-1.9335682159375873E-3</v>
      </c>
      <c r="Z128" s="32" t="str">
        <f t="shared" si="107"/>
        <v>0.999999936604272+0.000948989871331033i</v>
      </c>
      <c r="AA128" s="18">
        <f t="shared" si="122"/>
        <v>1.0000003868950871</v>
      </c>
      <c r="AB128" s="18">
        <f t="shared" si="123"/>
        <v>9.4898964661204572E-4</v>
      </c>
      <c r="AC128" s="68" t="str">
        <f t="shared" si="124"/>
        <v>21.3697395987504-6.44583949592827i</v>
      </c>
      <c r="AD128" s="66">
        <f t="shared" si="125"/>
        <v>26.974164653336693</v>
      </c>
      <c r="AE128" s="63">
        <f t="shared" si="126"/>
        <v>-16.785095341416234</v>
      </c>
      <c r="AF128" s="51" t="e">
        <f t="shared" si="127"/>
        <v>#NUM!</v>
      </c>
      <c r="AG128" s="51" t="str">
        <f t="shared" si="108"/>
        <v>1-0.420024273626689i</v>
      </c>
      <c r="AH128" s="51">
        <f t="shared" si="128"/>
        <v>1.0846291488041557</v>
      </c>
      <c r="AI128" s="51">
        <f t="shared" si="129"/>
        <v>-0.39764862516402588</v>
      </c>
      <c r="AJ128" s="51" t="str">
        <f t="shared" si="109"/>
        <v>1+0.00140008091208896i</v>
      </c>
      <c r="AK128" s="51">
        <f t="shared" si="130"/>
        <v>1.0000009801127998</v>
      </c>
      <c r="AL128" s="51">
        <f t="shared" si="131"/>
        <v>1.4000799972647725E-3</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-0.000170731707317073</v>
      </c>
      <c r="AT128" s="32" t="str">
        <f t="shared" si="112"/>
        <v>0.0000300582342708365i</v>
      </c>
      <c r="AU128" s="32">
        <f t="shared" si="137"/>
        <v>3.0058234270836501E-5</v>
      </c>
      <c r="AV128" s="32">
        <f t="shared" si="138"/>
        <v>1.5707963267948966</v>
      </c>
      <c r="AW128" s="32" t="str">
        <f t="shared" si="113"/>
        <v>1+0.00639965619406229i</v>
      </c>
      <c r="AX128" s="32">
        <f t="shared" si="139"/>
        <v>1.0000204775900352</v>
      </c>
      <c r="AY128" s="32">
        <f t="shared" si="140"/>
        <v>6.3995688289573355E-3</v>
      </c>
      <c r="AZ128" s="32" t="str">
        <f t="shared" si="114"/>
        <v>1+0.121593467687184i</v>
      </c>
      <c r="BA128" s="32">
        <f t="shared" si="141"/>
        <v>1.0073653614176905</v>
      </c>
      <c r="BB128" s="32">
        <f t="shared" si="142"/>
        <v>0.12099947615882733</v>
      </c>
      <c r="BC128" s="60" t="str">
        <f t="shared" si="143"/>
        <v>-0.654277642556238+5.68421831343637i</v>
      </c>
      <c r="BD128" s="51">
        <f t="shared" si="144"/>
        <v>15.150576770582598</v>
      </c>
      <c r="BE128" s="63">
        <f t="shared" si="145"/>
        <v>96.566091022591891</v>
      </c>
      <c r="BF128" s="60" t="str">
        <f t="shared" si="146"/>
        <v>22.6578160615158+125.687633850275i</v>
      </c>
      <c r="BG128" s="66">
        <f t="shared" si="147"/>
        <v>42.124741423919275</v>
      </c>
      <c r="BH128" s="63">
        <f t="shared" si="148"/>
        <v>79.780995681175654</v>
      </c>
      <c r="BI128" s="60" t="e">
        <f t="shared" si="152"/>
        <v>#NUM!</v>
      </c>
      <c r="BJ128" s="66" t="e">
        <f t="shared" si="149"/>
        <v>#NUM!</v>
      </c>
      <c r="BK128" s="63" t="e">
        <f t="shared" si="153"/>
        <v>#NUM!</v>
      </c>
      <c r="BL128" s="51">
        <f t="shared" si="150"/>
        <v>42.124741423919275</v>
      </c>
      <c r="BM128" s="63">
        <f t="shared" si="151"/>
        <v>79.780995681175654</v>
      </c>
    </row>
    <row r="129" spans="14:65" x14ac:dyDescent="0.3">
      <c r="N129" s="11">
        <v>11</v>
      </c>
      <c r="O129" s="52">
        <f t="shared" si="154"/>
        <v>128.82495516931343</v>
      </c>
      <c r="P129" s="50" t="str">
        <f t="shared" si="103"/>
        <v>23.3035714285714</v>
      </c>
      <c r="Q129" s="18" t="str">
        <f t="shared" si="104"/>
        <v>1+0.307005639850003i</v>
      </c>
      <c r="R129" s="18">
        <f t="shared" si="116"/>
        <v>1.0460652287977599</v>
      </c>
      <c r="S129" s="18">
        <f t="shared" si="117"/>
        <v>0.29787153022092167</v>
      </c>
      <c r="T129" s="18" t="str">
        <f t="shared" si="105"/>
        <v>1+0.00143269298596668i</v>
      </c>
      <c r="U129" s="18">
        <f t="shared" si="118"/>
        <v>1.0000010263040693</v>
      </c>
      <c r="V129" s="18">
        <f t="shared" si="119"/>
        <v>1.4326920057149565E-3</v>
      </c>
      <c r="W129" s="32" t="str">
        <f t="shared" si="106"/>
        <v>1-0.00197860927126598i</v>
      </c>
      <c r="X129" s="18">
        <f t="shared" si="120"/>
        <v>1.0000019574454084</v>
      </c>
      <c r="Y129" s="18">
        <f t="shared" si="121"/>
        <v>-1.9786066892564292E-3</v>
      </c>
      <c r="Z129" s="32" t="str">
        <f t="shared" si="107"/>
        <v>0.999999933616524+0.000971094685078461i</v>
      </c>
      <c r="AA129" s="18">
        <f t="shared" si="122"/>
        <v>1.0000004051288878</v>
      </c>
      <c r="AB129" s="18">
        <f t="shared" si="123"/>
        <v>9.7109444428773273E-4</v>
      </c>
      <c r="AC129" s="68" t="str">
        <f t="shared" si="124"/>
        <v>21.2864510617039-6.57041233650179i</v>
      </c>
      <c r="AD129" s="66">
        <f t="shared" si="125"/>
        <v>26.957296763166191</v>
      </c>
      <c r="AE129" s="63">
        <f t="shared" si="126"/>
        <v>-17.153699739269797</v>
      </c>
      <c r="AF129" s="51" t="e">
        <f t="shared" si="127"/>
        <v>#NUM!</v>
      </c>
      <c r="AG129" s="51" t="str">
        <f t="shared" si="108"/>
        <v>1-0.429807895790005i</v>
      </c>
      <c r="AH129" s="51">
        <f t="shared" si="128"/>
        <v>1.0884552481767138</v>
      </c>
      <c r="AI129" s="51">
        <f t="shared" si="129"/>
        <v>-0.40593592007665841</v>
      </c>
      <c r="AJ129" s="51" t="str">
        <f t="shared" si="109"/>
        <v>1+0.00143269298596668i</v>
      </c>
      <c r="AK129" s="51">
        <f t="shared" si="130"/>
        <v>1.0000010263040693</v>
      </c>
      <c r="AL129" s="51">
        <f t="shared" si="131"/>
        <v>1.4326920057149565E-3</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-0.000170731707317073</v>
      </c>
      <c r="AT129" s="32" t="str">
        <f t="shared" si="112"/>
        <v>0.0000307583804896802i</v>
      </c>
      <c r="AU129" s="32">
        <f t="shared" si="137"/>
        <v>3.0758380489680201E-5</v>
      </c>
      <c r="AV129" s="32">
        <f t="shared" si="138"/>
        <v>1.5707963267948966</v>
      </c>
      <c r="AW129" s="32" t="str">
        <f t="shared" si="113"/>
        <v>1+0.00654872333639007i</v>
      </c>
      <c r="AX129" s="32">
        <f t="shared" si="139"/>
        <v>1.0000214426587746</v>
      </c>
      <c r="AY129" s="32">
        <f t="shared" si="140"/>
        <v>6.5486297231019171E-3</v>
      </c>
      <c r="AZ129" s="32" t="str">
        <f t="shared" si="114"/>
        <v>1+0.124425743391411i</v>
      </c>
      <c r="BA129" s="32">
        <f t="shared" si="141"/>
        <v>1.007711151877613</v>
      </c>
      <c r="BB129" s="32">
        <f t="shared" si="142"/>
        <v>0.1237895327499318</v>
      </c>
      <c r="BC129" s="60" t="str">
        <f t="shared" si="143"/>
        <v>-0.654276379738123+5.55502254217236i</v>
      </c>
      <c r="BD129" s="51">
        <f t="shared" si="144"/>
        <v>14.953549414340443</v>
      </c>
      <c r="BE129" s="63">
        <f t="shared" si="145"/>
        <v>96.717408929739918</v>
      </c>
      <c r="BF129" s="60" t="str">
        <f t="shared" si="146"/>
        <v>22.5715665025105+122.545581087527i</v>
      </c>
      <c r="BG129" s="66">
        <f t="shared" si="147"/>
        <v>41.910846177506627</v>
      </c>
      <c r="BH129" s="63">
        <f t="shared" si="148"/>
        <v>79.563709190470092</v>
      </c>
      <c r="BI129" s="60" t="e">
        <f t="shared" si="152"/>
        <v>#NUM!</v>
      </c>
      <c r="BJ129" s="66" t="e">
        <f t="shared" si="149"/>
        <v>#NUM!</v>
      </c>
      <c r="BK129" s="63" t="e">
        <f t="shared" si="153"/>
        <v>#NUM!</v>
      </c>
      <c r="BL129" s="51">
        <f t="shared" si="150"/>
        <v>41.910846177506627</v>
      </c>
      <c r="BM129" s="63">
        <f t="shared" si="151"/>
        <v>79.563709190470092</v>
      </c>
    </row>
    <row r="130" spans="14:65" x14ac:dyDescent="0.3">
      <c r="N130" s="11">
        <v>12</v>
      </c>
      <c r="O130" s="52">
        <f t="shared" si="154"/>
        <v>131.82567385564084</v>
      </c>
      <c r="P130" s="50" t="str">
        <f t="shared" si="103"/>
        <v>23.3035714285714</v>
      </c>
      <c r="Q130" s="18" t="str">
        <f t="shared" si="104"/>
        <v>1+0.314156719849178i</v>
      </c>
      <c r="R130" s="18">
        <f t="shared" si="116"/>
        <v>1.0481862642805404</v>
      </c>
      <c r="S130" s="18">
        <f t="shared" si="117"/>
        <v>0.30439348051668613</v>
      </c>
      <c r="T130" s="18" t="str">
        <f t="shared" si="105"/>
        <v>1+0.0014660646926295i</v>
      </c>
      <c r="U130" s="18">
        <f t="shared" si="118"/>
        <v>1.0000010746722641</v>
      </c>
      <c r="V130" s="18">
        <f t="shared" si="119"/>
        <v>1.4660636422709151E-3</v>
      </c>
      <c r="W130" s="32" t="str">
        <f t="shared" si="106"/>
        <v>1-0.00202469700174821i</v>
      </c>
      <c r="X130" s="18">
        <f t="shared" si="120"/>
        <v>1.0000020496968738</v>
      </c>
      <c r="Y130" s="18">
        <f t="shared" si="121"/>
        <v>-2.0246942350754362E-3</v>
      </c>
      <c r="Z130" s="32" t="str">
        <f t="shared" si="107"/>
        <v>0.999999930487967+0.000993714386081876i</v>
      </c>
      <c r="AA130" s="18">
        <f t="shared" si="122"/>
        <v>1.00000042422202</v>
      </c>
      <c r="AB130" s="18">
        <f t="shared" si="123"/>
        <v>9.9371412806996797E-4</v>
      </c>
      <c r="AC130" s="68" t="str">
        <f t="shared" si="124"/>
        <v>21.1999265915694-6.69627465828477i</v>
      </c>
      <c r="AD130" s="66">
        <f t="shared" si="125"/>
        <v>26.939703860715309</v>
      </c>
      <c r="AE130" s="63">
        <f t="shared" si="126"/>
        <v>-17.529404545759295</v>
      </c>
      <c r="AF130" s="51" t="e">
        <f t="shared" si="127"/>
        <v>#NUM!</v>
      </c>
      <c r="AG130" s="51" t="str">
        <f t="shared" si="108"/>
        <v>1-0.43981940778885i</v>
      </c>
      <c r="AH130" s="51">
        <f t="shared" si="128"/>
        <v>1.0924473037486682</v>
      </c>
      <c r="AI130" s="51">
        <f t="shared" si="129"/>
        <v>-0.41435556406786889</v>
      </c>
      <c r="AJ130" s="51" t="str">
        <f t="shared" si="109"/>
        <v>1+0.0014660646926295i</v>
      </c>
      <c r="AK130" s="51">
        <f t="shared" si="130"/>
        <v>1.0000010746722641</v>
      </c>
      <c r="AL130" s="51">
        <f t="shared" si="131"/>
        <v>1.4660636422709151E-3</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-0.000170731707317073</v>
      </c>
      <c r="AT130" s="32" t="str">
        <f t="shared" si="112"/>
        <v>0.0000314748352089948i</v>
      </c>
      <c r="AU130" s="32">
        <f t="shared" si="137"/>
        <v>3.1474835208994803E-5</v>
      </c>
      <c r="AV130" s="32">
        <f t="shared" si="138"/>
        <v>1.5707963267948966</v>
      </c>
      <c r="AW130" s="32" t="str">
        <f t="shared" si="113"/>
        <v>1+0.0067012626985134i</v>
      </c>
      <c r="AX130" s="32">
        <f t="shared" si="139"/>
        <v>1.000022453208804</v>
      </c>
      <c r="AY130" s="32">
        <f t="shared" si="140"/>
        <v>6.7011623901895561E-3</v>
      </c>
      <c r="AZ130" s="32" t="str">
        <f t="shared" si="114"/>
        <v>1+0.127323991271755i</v>
      </c>
      <c r="BA130" s="32">
        <f t="shared" si="141"/>
        <v>1.0080731118095403</v>
      </c>
      <c r="BB130" s="32">
        <f t="shared" si="142"/>
        <v>0.12664257379958255</v>
      </c>
      <c r="BC130" s="60" t="str">
        <f t="shared" si="143"/>
        <v>-0.654275057410456+5.42877211660998i</v>
      </c>
      <c r="BD130" s="51">
        <f t="shared" si="144"/>
        <v>14.756659962931524</v>
      </c>
      <c r="BE130" s="63">
        <f t="shared" si="145"/>
        <v>96.872136662600468</v>
      </c>
      <c r="BF130" s="60" t="str">
        <f t="shared" si="146"/>
        <v>22.4819659622619+119.470775840976i</v>
      </c>
      <c r="BG130" s="66">
        <f t="shared" si="147"/>
        <v>41.696363823646848</v>
      </c>
      <c r="BH130" s="63">
        <f t="shared" si="148"/>
        <v>79.342732116841177</v>
      </c>
      <c r="BI130" s="60" t="e">
        <f t="shared" si="152"/>
        <v>#NUM!</v>
      </c>
      <c r="BJ130" s="66" t="e">
        <f t="shared" si="149"/>
        <v>#NUM!</v>
      </c>
      <c r="BK130" s="63" t="e">
        <f t="shared" si="153"/>
        <v>#NUM!</v>
      </c>
      <c r="BL130" s="51">
        <f t="shared" si="150"/>
        <v>41.696363823646848</v>
      </c>
      <c r="BM130" s="63">
        <f t="shared" si="151"/>
        <v>79.342732116841177</v>
      </c>
    </row>
    <row r="131" spans="14:65" x14ac:dyDescent="0.3">
      <c r="N131" s="11">
        <v>13</v>
      </c>
      <c r="O131" s="52">
        <f t="shared" si="154"/>
        <v>134.89628825916537</v>
      </c>
      <c r="P131" s="50" t="str">
        <f t="shared" si="103"/>
        <v>23.3035714285714</v>
      </c>
      <c r="Q131" s="18" t="str">
        <f t="shared" si="104"/>
        <v>1+0.321474369899571i</v>
      </c>
      <c r="R131" s="18">
        <f t="shared" si="116"/>
        <v>1.0504026706469887</v>
      </c>
      <c r="S131" s="18">
        <f t="shared" si="117"/>
        <v>0.31103978987973241</v>
      </c>
      <c r="T131" s="18" t="str">
        <f t="shared" si="105"/>
        <v>1+0.001500213726198i</v>
      </c>
      <c r="U131" s="18">
        <f t="shared" si="118"/>
        <v>1.000001125319979</v>
      </c>
      <c r="V131" s="18">
        <f t="shared" si="119"/>
        <v>1.5002126007185672E-3</v>
      </c>
      <c r="W131" s="32" t="str">
        <f t="shared" si="106"/>
        <v>1-0.00207185825338079i</v>
      </c>
      <c r="X131" s="18">
        <f t="shared" si="120"/>
        <v>1.0000021462960078</v>
      </c>
      <c r="Y131" s="18">
        <f t="shared" si="121"/>
        <v>-2.0718552888378456E-3</v>
      </c>
      <c r="Z131" s="32" t="str">
        <f t="shared" si="107"/>
        <v>0.999999927211966+0.00101686096760615i</v>
      </c>
      <c r="AA131" s="18">
        <f t="shared" si="122"/>
        <v>1.0000004442149839</v>
      </c>
      <c r="AB131" s="18">
        <f t="shared" si="123"/>
        <v>1.0168606911414159E-3</v>
      </c>
      <c r="AC131" s="68" t="str">
        <f t="shared" si="124"/>
        <v>21.1100710539757-6.82336468167123i</v>
      </c>
      <c r="AD131" s="66">
        <f t="shared" si="125"/>
        <v>26.921357906314363</v>
      </c>
      <c r="AE131" s="63">
        <f t="shared" si="126"/>
        <v>-17.91228176011856</v>
      </c>
      <c r="AF131" s="51" t="e">
        <f t="shared" si="127"/>
        <v>#NUM!</v>
      </c>
      <c r="AG131" s="51" t="str">
        <f t="shared" si="108"/>
        <v>1-0.450064117859401i</v>
      </c>
      <c r="AH131" s="51">
        <f t="shared" si="128"/>
        <v>1.0966119232365481</v>
      </c>
      <c r="AI131" s="51">
        <f t="shared" si="129"/>
        <v>-0.4229072453187368</v>
      </c>
      <c r="AJ131" s="51" t="str">
        <f t="shared" si="109"/>
        <v>1+0.001500213726198i</v>
      </c>
      <c r="AK131" s="51">
        <f t="shared" si="130"/>
        <v>1.000001125319979</v>
      </c>
      <c r="AL131" s="51">
        <f t="shared" si="131"/>
        <v>1.5002126007185672E-3</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-0.000170731707317073</v>
      </c>
      <c r="AT131" s="32" t="str">
        <f t="shared" si="112"/>
        <v>0.0000322079783025559i</v>
      </c>
      <c r="AU131" s="32">
        <f t="shared" si="137"/>
        <v>3.22079783025559E-5</v>
      </c>
      <c r="AV131" s="32">
        <f t="shared" si="138"/>
        <v>1.5707963267948966</v>
      </c>
      <c r="AW131" s="32" t="str">
        <f t="shared" si="113"/>
        <v>1+0.00685735515882117i</v>
      </c>
      <c r="AX131" s="32">
        <f t="shared" si="139"/>
        <v>1.0000235113834945</v>
      </c>
      <c r="AY131" s="32">
        <f t="shared" si="140"/>
        <v>6.8572476766521747E-3</v>
      </c>
      <c r="AZ131" s="32" t="str">
        <f t="shared" si="114"/>
        <v>1+0.130289748017603i</v>
      </c>
      <c r="BA131" s="32">
        <f t="shared" si="141"/>
        <v>1.0084519911421121</v>
      </c>
      <c r="BB131" s="32">
        <f t="shared" si="142"/>
        <v>0.12955992614228487</v>
      </c>
      <c r="BC131" s="60" t="str">
        <f t="shared" si="143"/>
        <v>-0.654273672769132+5.30540009704669i</v>
      </c>
      <c r="BD131" s="51">
        <f t="shared" si="144"/>
        <v>14.559914707625261</v>
      </c>
      <c r="BE131" s="63">
        <f t="shared" si="145"/>
        <v>97.030345611031521</v>
      </c>
      <c r="BF131" s="60" t="str">
        <f t="shared" si="146"/>
        <v>22.3889159234215+116.461720889345i</v>
      </c>
      <c r="BG131" s="66">
        <f t="shared" si="147"/>
        <v>41.481272613939595</v>
      </c>
      <c r="BH131" s="63">
        <f t="shared" si="148"/>
        <v>79.118063850912932</v>
      </c>
      <c r="BI131" s="60" t="e">
        <f t="shared" si="152"/>
        <v>#NUM!</v>
      </c>
      <c r="BJ131" s="66" t="e">
        <f t="shared" si="149"/>
        <v>#NUM!</v>
      </c>
      <c r="BK131" s="63" t="e">
        <f t="shared" si="153"/>
        <v>#NUM!</v>
      </c>
      <c r="BL131" s="51">
        <f t="shared" si="150"/>
        <v>41.481272613939595</v>
      </c>
      <c r="BM131" s="63">
        <f t="shared" si="151"/>
        <v>79.118063850912932</v>
      </c>
    </row>
    <row r="132" spans="14:65" x14ac:dyDescent="0.3">
      <c r="N132" s="11">
        <v>14</v>
      </c>
      <c r="O132" s="52">
        <f t="shared" si="154"/>
        <v>138.0384264602886</v>
      </c>
      <c r="P132" s="50" t="str">
        <f t="shared" si="103"/>
        <v>23.3035714285714</v>
      </c>
      <c r="Q132" s="18" t="str">
        <f t="shared" si="104"/>
        <v>1+0.328962469916102i</v>
      </c>
      <c r="R132" s="18">
        <f t="shared" si="116"/>
        <v>1.0527185315236463</v>
      </c>
      <c r="S132" s="18">
        <f t="shared" si="117"/>
        <v>0.31781163271887575</v>
      </c>
      <c r="T132" s="18" t="str">
        <f t="shared" si="105"/>
        <v>1+0.00153515819294181i</v>
      </c>
      <c r="U132" s="18">
        <f t="shared" si="118"/>
        <v>1.0000011783546443</v>
      </c>
      <c r="V132" s="18">
        <f t="shared" si="119"/>
        <v>1.5351569869689471E-3</v>
      </c>
      <c r="W132" s="32" t="str">
        <f t="shared" si="106"/>
        <v>1-0.00212011803168361i</v>
      </c>
      <c r="X132" s="18">
        <f t="shared" si="120"/>
        <v>1.0000022474477086</v>
      </c>
      <c r="Y132" s="18">
        <f t="shared" si="121"/>
        <v>-2.1201148551189992E-3</v>
      </c>
      <c r="Z132" s="32" t="str">
        <f t="shared" si="107"/>
        <v>0.999999923781571+0.00104054670227521i</v>
      </c>
      <c r="AA132" s="18">
        <f t="shared" si="122"/>
        <v>1.0000004651501857</v>
      </c>
      <c r="AB132" s="18">
        <f t="shared" si="123"/>
        <v>1.0405464060379184E-3</v>
      </c>
      <c r="AC132" s="68" t="str">
        <f t="shared" si="124"/>
        <v>21.0167891848856-6.95161503039515i</v>
      </c>
      <c r="AD132" s="66">
        <f t="shared" si="125"/>
        <v>26.902230047185448</v>
      </c>
      <c r="AE132" s="63">
        <f t="shared" si="126"/>
        <v>-18.302399769444918</v>
      </c>
      <c r="AF132" s="51" t="e">
        <f t="shared" si="127"/>
        <v>#NUM!</v>
      </c>
      <c r="AG132" s="51" t="str">
        <f t="shared" si="108"/>
        <v>1-0.460547457882544i</v>
      </c>
      <c r="AH132" s="51">
        <f t="shared" si="128"/>
        <v>1.1009559305267735</v>
      </c>
      <c r="AI132" s="51">
        <f t="shared" si="129"/>
        <v>-0.43159049383864939</v>
      </c>
      <c r="AJ132" s="51" t="str">
        <f t="shared" si="109"/>
        <v>1+0.00153515819294181i</v>
      </c>
      <c r="AK132" s="51">
        <f t="shared" si="130"/>
        <v>1.0000011783546443</v>
      </c>
      <c r="AL132" s="51">
        <f t="shared" si="131"/>
        <v>1.5351569869689471E-3</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-0.000170731707317073</v>
      </c>
      <c r="AT132" s="32" t="str">
        <f t="shared" si="112"/>
        <v>0.0000329581984925361i</v>
      </c>
      <c r="AU132" s="32">
        <f t="shared" si="137"/>
        <v>3.29581984925361E-5</v>
      </c>
      <c r="AV132" s="32">
        <f t="shared" si="138"/>
        <v>1.5707963267948966</v>
      </c>
      <c r="AW132" s="32" t="str">
        <f t="shared" si="113"/>
        <v>1+0.00701708347960199i</v>
      </c>
      <c r="AX132" s="32">
        <f t="shared" si="139"/>
        <v>1.0000246194272218</v>
      </c>
      <c r="AY132" s="32">
        <f t="shared" si="140"/>
        <v>7.0169683105360762E-3</v>
      </c>
      <c r="AZ132" s="32" t="str">
        <f t="shared" si="114"/>
        <v>1+0.133324586112438i</v>
      </c>
      <c r="BA132" s="32">
        <f t="shared" si="141"/>
        <v>1.0088485740001087</v>
      </c>
      <c r="BB132" s="32">
        <f t="shared" si="142"/>
        <v>0.13254293785581495</v>
      </c>
      <c r="BC132" s="60" t="str">
        <f t="shared" si="143"/>
        <v>-0.654272222877949+5.18484106994496i</v>
      </c>
      <c r="BD132" s="51">
        <f t="shared" si="144"/>
        <v>14.363320216626148</v>
      </c>
      <c r="BE132" s="63">
        <f t="shared" si="145"/>
        <v>97.192108274232183</v>
      </c>
      <c r="BF132" s="60" t="str">
        <f t="shared" si="146"/>
        <v>22.2923177342871+113.516960342698i</v>
      </c>
      <c r="BG132" s="66">
        <f t="shared" si="147"/>
        <v>41.265550263811576</v>
      </c>
      <c r="BH132" s="63">
        <f t="shared" si="148"/>
        <v>78.889708504787251</v>
      </c>
      <c r="BI132" s="60" t="e">
        <f t="shared" si="152"/>
        <v>#NUM!</v>
      </c>
      <c r="BJ132" s="66" t="e">
        <f t="shared" si="149"/>
        <v>#NUM!</v>
      </c>
      <c r="BK132" s="63" t="e">
        <f t="shared" si="153"/>
        <v>#NUM!</v>
      </c>
      <c r="BL132" s="51">
        <f t="shared" si="150"/>
        <v>41.265550263811576</v>
      </c>
      <c r="BM132" s="63">
        <f t="shared" si="151"/>
        <v>78.889708504787251</v>
      </c>
    </row>
    <row r="133" spans="14:65" x14ac:dyDescent="0.3">
      <c r="N133" s="11">
        <v>15</v>
      </c>
      <c r="O133" s="52">
        <f t="shared" si="154"/>
        <v>141.25375446227542</v>
      </c>
      <c r="P133" s="50" t="str">
        <f t="shared" si="103"/>
        <v>23.3035714285714</v>
      </c>
      <c r="Q133" s="18" t="str">
        <f t="shared" si="104"/>
        <v>1+0.336624990188516i</v>
      </c>
      <c r="R133" s="18">
        <f t="shared" si="116"/>
        <v>1.0551380876546057</v>
      </c>
      <c r="S133" s="18">
        <f t="shared" si="117"/>
        <v>0.32471011436006703</v>
      </c>
      <c r="T133" s="18" t="str">
        <f t="shared" si="105"/>
        <v>1+0.00157091662087974i</v>
      </c>
      <c r="U133" s="18">
        <f t="shared" si="118"/>
        <v>1.0000012338887536</v>
      </c>
      <c r="V133" s="18">
        <f t="shared" si="119"/>
        <v>1.5709153286566219E-3</v>
      </c>
      <c r="W133" s="32" t="str">
        <f t="shared" si="106"/>
        <v>1-0.0021695019246299i</v>
      </c>
      <c r="X133" s="18">
        <f t="shared" si="120"/>
        <v>1.0000023533665312</v>
      </c>
      <c r="Y133" s="18">
        <f t="shared" si="121"/>
        <v>-2.1694985208800277E-3</v>
      </c>
      <c r="Z133" s="32" t="str">
        <f t="shared" si="107"/>
        <v>0.999999920189507+0.00106478414857907i</v>
      </c>
      <c r="AA133" s="18">
        <f t="shared" si="122"/>
        <v>1.0000004870720332</v>
      </c>
      <c r="AB133" s="18">
        <f t="shared" si="123"/>
        <v>1.0647838311551015E-3</v>
      </c>
      <c r="AC133" s="68" t="str">
        <f t="shared" si="124"/>
        <v>20.9199858600672-7.08095252942621i</v>
      </c>
      <c r="AD133" s="66">
        <f t="shared" si="125"/>
        <v>26.88229061747429</v>
      </c>
      <c r="AE133" s="63">
        <f t="shared" si="126"/>
        <v>-18.699823028262998</v>
      </c>
      <c r="AF133" s="51" t="e">
        <f t="shared" si="127"/>
        <v>#NUM!</v>
      </c>
      <c r="AG133" s="51" t="str">
        <f t="shared" si="108"/>
        <v>1-0.471274986263923i</v>
      </c>
      <c r="AH133" s="51">
        <f t="shared" si="128"/>
        <v>1.1054863692864154</v>
      </c>
      <c r="AI133" s="51">
        <f t="shared" si="129"/>
        <v>-0.44040467491494178</v>
      </c>
      <c r="AJ133" s="51" t="str">
        <f t="shared" si="109"/>
        <v>1+0.00157091662087974i</v>
      </c>
      <c r="AK133" s="51">
        <f t="shared" si="130"/>
        <v>1.0000012338887536</v>
      </c>
      <c r="AL133" s="51">
        <f t="shared" si="131"/>
        <v>1.5709153286566219E-3</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-0.000170731707317073</v>
      </c>
      <c r="AT133" s="32" t="str">
        <f t="shared" si="112"/>
        <v>0.0000337258935556102i</v>
      </c>
      <c r="AU133" s="32">
        <f t="shared" si="137"/>
        <v>3.3725893555610201E-5</v>
      </c>
      <c r="AV133" s="32">
        <f t="shared" si="138"/>
        <v>1.5707963267948966</v>
      </c>
      <c r="AW133" s="32" t="str">
        <f t="shared" si="113"/>
        <v>1+0.00718053235092576i</v>
      </c>
      <c r="AX133" s="32">
        <f t="shared" si="139"/>
        <v>1.0000257796901251</v>
      </c>
      <c r="AY133" s="32">
        <f t="shared" si="140"/>
        <v>7.1804089452200837E-3</v>
      </c>
      <c r="AZ133" s="32" t="str">
        <f t="shared" si="114"/>
        <v>1+0.13643011466759i</v>
      </c>
      <c r="BA133" s="32">
        <f t="shared" si="141"/>
        <v>1.0092636802086024</v>
      </c>
      <c r="BB133" s="32">
        <f t="shared" si="142"/>
        <v>0.13559297810865914</v>
      </c>
      <c r="BC133" s="60" t="str">
        <f t="shared" si="143"/>
        <v>-0.654270704662394+5.06703111324884i</v>
      </c>
      <c r="BD133" s="51">
        <f t="shared" si="144"/>
        <v>14.166883346310593</v>
      </c>
      <c r="BE133" s="63">
        <f t="shared" si="145"/>
        <v>97.357498249496842</v>
      </c>
      <c r="BF133" s="60" t="str">
        <f t="shared" si="146"/>
        <v>22.1920728878472+110.635079042795i</v>
      </c>
      <c r="BG133" s="66">
        <f t="shared" si="147"/>
        <v>41.049173963784888</v>
      </c>
      <c r="BH133" s="63">
        <f t="shared" si="148"/>
        <v>78.657675221233859</v>
      </c>
      <c r="BI133" s="60" t="e">
        <f t="shared" si="152"/>
        <v>#NUM!</v>
      </c>
      <c r="BJ133" s="66" t="e">
        <f t="shared" si="149"/>
        <v>#NUM!</v>
      </c>
      <c r="BK133" s="63" t="e">
        <f t="shared" si="153"/>
        <v>#NUM!</v>
      </c>
      <c r="BL133" s="51">
        <f t="shared" si="150"/>
        <v>41.049173963784888</v>
      </c>
      <c r="BM133" s="63">
        <f t="shared" si="151"/>
        <v>78.657675221233859</v>
      </c>
    </row>
    <row r="134" spans="14:65" x14ac:dyDescent="0.3">
      <c r="N134" s="11">
        <v>16</v>
      </c>
      <c r="O134" s="52">
        <f t="shared" si="154"/>
        <v>144.54397707459285</v>
      </c>
      <c r="P134" s="50" t="str">
        <f t="shared" si="103"/>
        <v>23.3035714285714</v>
      </c>
      <c r="Q134" s="18" t="str">
        <f t="shared" si="104"/>
        <v>1+0.344465993486486i</v>
      </c>
      <c r="R134" s="18">
        <f t="shared" si="116"/>
        <v>1.0576657414649639</v>
      </c>
      <c r="S134" s="18">
        <f t="shared" si="117"/>
        <v>0.33173626524864569</v>
      </c>
      <c r="T134" s="18" t="str">
        <f t="shared" si="105"/>
        <v>1+0.0016075079696036i</v>
      </c>
      <c r="U134" s="18">
        <f t="shared" si="118"/>
        <v>1.0000012920401014</v>
      </c>
      <c r="V134" s="18">
        <f t="shared" si="119"/>
        <v>1.607506584961679E-3</v>
      </c>
      <c r="W134" s="32" t="str">
        <f t="shared" si="106"/>
        <v>1-0.00222003611621339i</v>
      </c>
      <c r="X134" s="18">
        <f t="shared" si="120"/>
        <v>1.0000024642771423</v>
      </c>
      <c r="Y134" s="18">
        <f t="shared" si="121"/>
        <v>-2.2200324690301769E-3</v>
      </c>
      <c r="Z134" s="32" t="str">
        <f t="shared" si="107"/>
        <v>0.999999916428155+0.00108958615753259i</v>
      </c>
      <c r="AA134" s="18">
        <f t="shared" si="122"/>
        <v>1.0000005100270259</v>
      </c>
      <c r="AB134" s="18">
        <f t="shared" si="123"/>
        <v>1.0895858174066885E-3</v>
      </c>
      <c r="AC134" s="68" t="str">
        <f t="shared" si="124"/>
        <v>20.8195663876388-7.21129801090268i</v>
      </c>
      <c r="AD134" s="66">
        <f t="shared" si="125"/>
        <v>26.861509140682259</v>
      </c>
      <c r="AE134" s="63">
        <f t="shared" si="126"/>
        <v>-19.104611726934198</v>
      </c>
      <c r="AF134" s="51" t="e">
        <f t="shared" si="127"/>
        <v>#NUM!</v>
      </c>
      <c r="AG134" s="51" t="str">
        <f t="shared" si="108"/>
        <v>1-0.482252390881082i</v>
      </c>
      <c r="AH134" s="51">
        <f t="shared" si="128"/>
        <v>1.1102105063953052</v>
      </c>
      <c r="AI134" s="51">
        <f t="shared" si="129"/>
        <v>-0.44934898275002788</v>
      </c>
      <c r="AJ134" s="51" t="str">
        <f t="shared" si="109"/>
        <v>1+0.0016075079696036i</v>
      </c>
      <c r="AK134" s="51">
        <f t="shared" si="130"/>
        <v>1.0000012920401014</v>
      </c>
      <c r="AL134" s="51">
        <f t="shared" si="131"/>
        <v>1.607506584961679E-3</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-0.000170731707317073</v>
      </c>
      <c r="AT134" s="32" t="str">
        <f t="shared" si="112"/>
        <v>0.0000345114705338626i</v>
      </c>
      <c r="AU134" s="32">
        <f t="shared" si="137"/>
        <v>3.4511470533862601E-5</v>
      </c>
      <c r="AV134" s="32">
        <f t="shared" si="138"/>
        <v>1.5707963267948966</v>
      </c>
      <c r="AW134" s="32" t="str">
        <f t="shared" si="113"/>
        <v>1+0.00734778843554759i</v>
      </c>
      <c r="AX134" s="32">
        <f t="shared" si="139"/>
        <v>1.0000269946330915</v>
      </c>
      <c r="AY134" s="32">
        <f t="shared" si="140"/>
        <v>7.347656204144363E-3</v>
      </c>
      <c r="AZ134" s="32" t="str">
        <f t="shared" si="114"/>
        <v>1+0.139607980275404i</v>
      </c>
      <c r="BA134" s="32">
        <f t="shared" si="141"/>
        <v>1.0096981668580851</v>
      </c>
      <c r="BB134" s="32">
        <f t="shared" si="142"/>
        <v>0.13871143696270433</v>
      </c>
      <c r="BC134" s="60" t="str">
        <f t="shared" si="143"/>
        <v>-0.65426911490309+4.95190776249128i</v>
      </c>
      <c r="BD134" s="51">
        <f t="shared" si="144"/>
        <v>13.970611252828558</v>
      </c>
      <c r="BE134" s="63">
        <f t="shared" si="145"/>
        <v>97.526590218347323</v>
      </c>
      <c r="BF134" s="60" t="str">
        <f t="shared" si="146"/>
        <v>22.0880833247203+107.814701973547i</v>
      </c>
      <c r="BG134" s="66">
        <f t="shared" si="147"/>
        <v>40.832120393510827</v>
      </c>
      <c r="BH134" s="63">
        <f t="shared" si="148"/>
        <v>78.421978491413171</v>
      </c>
      <c r="BI134" s="60" t="e">
        <f t="shared" si="152"/>
        <v>#NUM!</v>
      </c>
      <c r="BJ134" s="66" t="e">
        <f t="shared" si="149"/>
        <v>#NUM!</v>
      </c>
      <c r="BK134" s="63" t="e">
        <f t="shared" si="153"/>
        <v>#NUM!</v>
      </c>
      <c r="BL134" s="51">
        <f t="shared" si="150"/>
        <v>40.832120393510827</v>
      </c>
      <c r="BM134" s="63">
        <f t="shared" si="151"/>
        <v>78.421978491413171</v>
      </c>
    </row>
    <row r="135" spans="14:65" x14ac:dyDescent="0.3">
      <c r="N135" s="11">
        <v>17</v>
      </c>
      <c r="O135" s="52">
        <f t="shared" si="154"/>
        <v>147.91083881682084</v>
      </c>
      <c r="P135" s="50" t="str">
        <f t="shared" si="103"/>
        <v>23.3035714285714</v>
      </c>
      <c r="Q135" s="18" t="str">
        <f t="shared" si="104"/>
        <v>1+0.352489637213749i</v>
      </c>
      <c r="R135" s="18">
        <f t="shared" si="116"/>
        <v>1.0603060616364881</v>
      </c>
      <c r="S135" s="18">
        <f t="shared" si="117"/>
        <v>0.33889103496555256</v>
      </c>
      <c r="T135" s="18" t="str">
        <f t="shared" si="105"/>
        <v>1+0.00164495164033083i</v>
      </c>
      <c r="U135" s="18">
        <f t="shared" si="118"/>
        <v>1.0000013529320344</v>
      </c>
      <c r="V135" s="18">
        <f t="shared" si="119"/>
        <v>1.6449501566603891E-3</v>
      </c>
      <c r="W135" s="32" t="str">
        <f t="shared" si="106"/>
        <v>1-0.00227174740033134i</v>
      </c>
      <c r="X135" s="18">
        <f t="shared" si="120"/>
        <v>1.0000025804147963</v>
      </c>
      <c r="Y135" s="18">
        <f t="shared" si="121"/>
        <v>-2.2717434923046624E-3</v>
      </c>
      <c r="Z135" s="32" t="str">
        <f t="shared" si="107"/>
        <v>0.999999912489535+0.00111496587948921i</v>
      </c>
      <c r="AA135" s="18">
        <f t="shared" si="122"/>
        <v>1.0000005340638527</v>
      </c>
      <c r="AB135" s="18">
        <f t="shared" si="123"/>
        <v>1.114965515037751E-3</v>
      </c>
      <c r="AC135" s="68" t="str">
        <f t="shared" si="124"/>
        <v>20.7154368242054-7.34256613012814i</v>
      </c>
      <c r="AD135" s="66">
        <f t="shared" si="125"/>
        <v>26.839854334697041</v>
      </c>
      <c r="AE135" s="63">
        <f t="shared" si="126"/>
        <v>-19.516821449420164</v>
      </c>
      <c r="AF135" s="51" t="e">
        <f t="shared" si="127"/>
        <v>#NUM!</v>
      </c>
      <c r="AG135" s="51" t="str">
        <f t="shared" si="108"/>
        <v>1-0.49348549209925i</v>
      </c>
      <c r="AH135" s="51">
        <f t="shared" si="128"/>
        <v>1.1151358351844134</v>
      </c>
      <c r="AI135" s="51">
        <f t="shared" si="129"/>
        <v>-0.45842243433350549</v>
      </c>
      <c r="AJ135" s="51" t="str">
        <f t="shared" si="109"/>
        <v>1+0.00164495164033083i</v>
      </c>
      <c r="AK135" s="51">
        <f t="shared" si="130"/>
        <v>1.0000013529320344</v>
      </c>
      <c r="AL135" s="51">
        <f t="shared" si="131"/>
        <v>1.6449501566603891E-3</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-0.000170731707317073</v>
      </c>
      <c r="AT135" s="32" t="str">
        <f t="shared" si="112"/>
        <v>0.0000353153459506054i</v>
      </c>
      <c r="AU135" s="32">
        <f t="shared" si="137"/>
        <v>3.5315345950605399E-5</v>
      </c>
      <c r="AV135" s="32">
        <f t="shared" si="138"/>
        <v>1.5707963267948966</v>
      </c>
      <c r="AW135" s="32" t="str">
        <f t="shared" si="113"/>
        <v>1+0.00751894041485741i</v>
      </c>
      <c r="AX135" s="32">
        <f t="shared" si="139"/>
        <v>1.0000282668329741</v>
      </c>
      <c r="AY135" s="32">
        <f t="shared" si="140"/>
        <v>7.5187987265723961E-3</v>
      </c>
      <c r="AZ135" s="32" t="str">
        <f t="shared" si="114"/>
        <v>1+0.142859867882291i</v>
      </c>
      <c r="BA135" s="32">
        <f t="shared" si="141"/>
        <v>1.0101529299325649</v>
      </c>
      <c r="BB135" s="32">
        <f t="shared" si="142"/>
        <v>0.14189972512779028</v>
      </c>
      <c r="BC135" s="60" t="str">
        <f t="shared" si="143"/>
        <v>-0.654267450229022+4.83940997767435i</v>
      </c>
      <c r="BD135" s="51">
        <f t="shared" si="144"/>
        <v>13.774511404073142</v>
      </c>
      <c r="BE135" s="63">
        <f t="shared" si="145"/>
        <v>97.699459929847905</v>
      </c>
      <c r="BF135" s="60" t="str">
        <f t="shared" si="146"/>
        <v>21.9802517605226+105.054493679039i</v>
      </c>
      <c r="BG135" s="66">
        <f t="shared" si="147"/>
        <v>40.614365738770168</v>
      </c>
      <c r="BH135" s="63">
        <f t="shared" si="148"/>
        <v>78.182638480427741</v>
      </c>
      <c r="BI135" s="60" t="e">
        <f t="shared" si="152"/>
        <v>#NUM!</v>
      </c>
      <c r="BJ135" s="66" t="e">
        <f t="shared" si="149"/>
        <v>#NUM!</v>
      </c>
      <c r="BK135" s="63" t="e">
        <f t="shared" si="153"/>
        <v>#NUM!</v>
      </c>
      <c r="BL135" s="51">
        <f t="shared" si="150"/>
        <v>40.614365738770168</v>
      </c>
      <c r="BM135" s="63">
        <f t="shared" si="151"/>
        <v>78.182638480427741</v>
      </c>
    </row>
    <row r="136" spans="14:65" x14ac:dyDescent="0.3">
      <c r="N136" s="11">
        <v>18</v>
      </c>
      <c r="O136" s="52">
        <f t="shared" si="154"/>
        <v>151.3561248436209</v>
      </c>
      <c r="P136" s="50" t="str">
        <f t="shared" si="103"/>
        <v>23.3035714285714</v>
      </c>
      <c r="Q136" s="18" t="str">
        <f t="shared" si="104"/>
        <v>1+0.360700175612415i</v>
      </c>
      <c r="R136" s="18">
        <f t="shared" si="116"/>
        <v>1.0630637876848346</v>
      </c>
      <c r="S136" s="18">
        <f t="shared" si="117"/>
        <v>0.34617528606845405</v>
      </c>
      <c r="T136" s="18" t="str">
        <f t="shared" si="105"/>
        <v>1+0.00168326748619127i</v>
      </c>
      <c r="U136" s="18">
        <f t="shared" si="118"/>
        <v>1.0000014166937115</v>
      </c>
      <c r="V136" s="18">
        <f t="shared" si="119"/>
        <v>1.6832658964098714E-3</v>
      </c>
      <c r="W136" s="32" t="str">
        <f t="shared" si="106"/>
        <v>1-0.00232466319499108i</v>
      </c>
      <c r="X136" s="18">
        <f t="shared" si="120"/>
        <v>1.0000027020258346</v>
      </c>
      <c r="Y136" s="18">
        <f t="shared" si="121"/>
        <v>-2.3246590074656607E-3</v>
      </c>
      <c r="Z136" s="32" t="str">
        <f t="shared" si="107"/>
        <v>0.999999908365294+0.00114093677111346i</v>
      </c>
      <c r="AA136" s="18">
        <f t="shared" si="122"/>
        <v>1.0000005592334995</v>
      </c>
      <c r="AB136" s="18">
        <f t="shared" si="123"/>
        <v>1.1409363805966971E-3</v>
      </c>
      <c r="AC136" s="68" t="str">
        <f t="shared" si="124"/>
        <v>20.6075043149683-7.47466519381213i</v>
      </c>
      <c r="AD136" s="66">
        <f t="shared" si="125"/>
        <v>26.817294119625767</v>
      </c>
      <c r="AE136" s="63">
        <f t="shared" si="126"/>
        <v>-19.936502821029762</v>
      </c>
      <c r="AF136" s="51" t="e">
        <f t="shared" si="127"/>
        <v>#NUM!</v>
      </c>
      <c r="AG136" s="51" t="str">
        <f t="shared" si="108"/>
        <v>1-0.504980245857382i</v>
      </c>
      <c r="AH136" s="51">
        <f t="shared" si="128"/>
        <v>1.120270078465984</v>
      </c>
      <c r="AI136" s="51">
        <f t="shared" si="129"/>
        <v>-0.46762386359897917</v>
      </c>
      <c r="AJ136" s="51" t="str">
        <f t="shared" si="109"/>
        <v>1+0.00168326748619127i</v>
      </c>
      <c r="AK136" s="51">
        <f t="shared" si="130"/>
        <v>1.0000014166937115</v>
      </c>
      <c r="AL136" s="51">
        <f t="shared" si="131"/>
        <v>1.6832658964098714E-3</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-0.000170731707317073</v>
      </c>
      <c r="AT136" s="32" t="str">
        <f t="shared" si="112"/>
        <v>0.000036137946031225i</v>
      </c>
      <c r="AU136" s="32">
        <f t="shared" si="137"/>
        <v>3.6137946031225E-5</v>
      </c>
      <c r="AV136" s="32">
        <f t="shared" si="138"/>
        <v>1.5707963267948966</v>
      </c>
      <c r="AW136" s="32" t="str">
        <f t="shared" si="113"/>
        <v>1+0.00769407903590013i</v>
      </c>
      <c r="AX136" s="32">
        <f t="shared" si="139"/>
        <v>1.0000295989880552</v>
      </c>
      <c r="AY136" s="32">
        <f t="shared" si="140"/>
        <v>7.6939272144101066E-3</v>
      </c>
      <c r="AZ136" s="32" t="str">
        <f t="shared" si="114"/>
        <v>1+0.146187501682103i</v>
      </c>
      <c r="BA136" s="32">
        <f t="shared" si="141"/>
        <v>1.0106289060026212</v>
      </c>
      <c r="BB136" s="32">
        <f t="shared" si="142"/>
        <v>0.14515927366451689</v>
      </c>
      <c r="BC136" s="60" t="str">
        <f t="shared" si="143"/>
        <v>-0.654265707110363+4.72947811090474i</v>
      </c>
      <c r="BD136" s="51">
        <f t="shared" si="144"/>
        <v>13.578591592019638</v>
      </c>
      <c r="BE136" s="63">
        <f t="shared" si="145"/>
        <v>97.876184180894811</v>
      </c>
      <c r="BF136" s="60" t="str">
        <f t="shared" si="146"/>
        <v>21.8684820380634+102.35315768646i</v>
      </c>
      <c r="BG136" s="66">
        <f t="shared" si="147"/>
        <v>40.395885711645377</v>
      </c>
      <c r="BH136" s="63">
        <f t="shared" si="148"/>
        <v>77.93968135986502</v>
      </c>
      <c r="BI136" s="60" t="e">
        <f t="shared" si="152"/>
        <v>#NUM!</v>
      </c>
      <c r="BJ136" s="66" t="e">
        <f t="shared" si="149"/>
        <v>#NUM!</v>
      </c>
      <c r="BK136" s="63" t="e">
        <f t="shared" si="153"/>
        <v>#NUM!</v>
      </c>
      <c r="BL136" s="51">
        <f t="shared" si="150"/>
        <v>40.395885711645377</v>
      </c>
      <c r="BM136" s="63">
        <f t="shared" si="151"/>
        <v>77.93968135986502</v>
      </c>
    </row>
    <row r="137" spans="14:65" x14ac:dyDescent="0.3">
      <c r="N137" s="11">
        <v>19</v>
      </c>
      <c r="O137" s="52">
        <f t="shared" si="154"/>
        <v>154.8816618912482</v>
      </c>
      <c r="P137" s="50" t="str">
        <f t="shared" si="103"/>
        <v>23.3035714285714</v>
      </c>
      <c r="Q137" s="18" t="str">
        <f t="shared" si="104"/>
        <v>1+0.369101962018621i</v>
      </c>
      <c r="R137" s="18">
        <f t="shared" si="116"/>
        <v>1.0659438345269396</v>
      </c>
      <c r="S137" s="18">
        <f t="shared" si="117"/>
        <v>0.35358978777095124</v>
      </c>
      <c r="T137" s="18" t="str">
        <f t="shared" si="105"/>
        <v>1+0.00172247582275357i</v>
      </c>
      <c r="U137" s="18">
        <f t="shared" si="118"/>
        <v>1.0000014834603796</v>
      </c>
      <c r="V137" s="18">
        <f t="shared" si="119"/>
        <v>1.7224741192722469E-3</v>
      </c>
      <c r="W137" s="32" t="str">
        <f t="shared" si="106"/>
        <v>1-0.00237881155684736i</v>
      </c>
      <c r="X137" s="18">
        <f t="shared" si="120"/>
        <v>1.0000028293682088</v>
      </c>
      <c r="Y137" s="18">
        <f t="shared" si="121"/>
        <v>-2.3788070698337175E-3</v>
      </c>
      <c r="Z137" s="32" t="str">
        <f t="shared" si="107"/>
        <v>0.999999904046683+0.00116751260251583i</v>
      </c>
      <c r="AA137" s="18">
        <f t="shared" si="122"/>
        <v>1.0000005855893548</v>
      </c>
      <c r="AB137" s="18">
        <f t="shared" si="123"/>
        <v>1.1675121840695934E-3</v>
      </c>
      <c r="AC137" s="68" t="str">
        <f t="shared" si="124"/>
        <v>20.4956774580273-7.6074970028805i</v>
      </c>
      <c r="AD137" s="66">
        <f t="shared" si="125"/>
        <v>26.793795628636651</v>
      </c>
      <c r="AE137" s="63">
        <f t="shared" si="126"/>
        <v>-20.363701146901832</v>
      </c>
      <c r="AF137" s="51" t="e">
        <f t="shared" si="127"/>
        <v>#NUM!</v>
      </c>
      <c r="AG137" s="51" t="str">
        <f t="shared" si="108"/>
        <v>1-0.516742746826071i</v>
      </c>
      <c r="AH137" s="51">
        <f t="shared" si="128"/>
        <v>1.1256211913416312</v>
      </c>
      <c r="AI137" s="51">
        <f t="shared" si="129"/>
        <v>-0.47695191591726782</v>
      </c>
      <c r="AJ137" s="51" t="str">
        <f t="shared" si="109"/>
        <v>1+0.00172247582275357i</v>
      </c>
      <c r="AK137" s="51">
        <f t="shared" si="130"/>
        <v>1.0000014834603796</v>
      </c>
      <c r="AL137" s="51">
        <f t="shared" si="131"/>
        <v>1.7224741192722469E-3</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-0.000170731707317073</v>
      </c>
      <c r="AT137" s="32" t="str">
        <f t="shared" si="112"/>
        <v>0.0000369797069291726i</v>
      </c>
      <c r="AU137" s="32">
        <f t="shared" si="137"/>
        <v>3.6979706929172603E-5</v>
      </c>
      <c r="AV137" s="32">
        <f t="shared" si="138"/>
        <v>1.5707963267948966</v>
      </c>
      <c r="AW137" s="32" t="str">
        <f t="shared" si="113"/>
        <v>1+0.00787329715949086i</v>
      </c>
      <c r="AX137" s="32">
        <f t="shared" si="139"/>
        <v>1.0000309939237693</v>
      </c>
      <c r="AY137" s="32">
        <f t="shared" si="140"/>
        <v>7.873134480105657E-3</v>
      </c>
      <c r="AZ137" s="32" t="str">
        <f t="shared" si="114"/>
        <v>1+0.149592646030327i</v>
      </c>
      <c r="BA137" s="32">
        <f t="shared" si="141"/>
        <v>1.0111270739854386</v>
      </c>
      <c r="BB137" s="32">
        <f t="shared" si="142"/>
        <v>0.14849153363155423</v>
      </c>
      <c r="BC137" s="60" t="str">
        <f t="shared" si="143"/>
        <v>-0.654263881851006+4.62205387476718i</v>
      </c>
      <c r="BD137" s="51">
        <f t="shared" si="144"/>
        <v>13.382859945434326</v>
      </c>
      <c r="BE137" s="63">
        <f t="shared" si="145"/>
        <v>98.056840793263987</v>
      </c>
      <c r="BF137" s="60" t="str">
        <f t="shared" si="146"/>
        <v>21.7526795045884+99.7094359311279i</v>
      </c>
      <c r="BG137" s="66">
        <f t="shared" si="147"/>
        <v>40.176655574070978</v>
      </c>
      <c r="BH137" s="63">
        <f t="shared" si="148"/>
        <v>77.693139646362198</v>
      </c>
      <c r="BI137" s="60" t="e">
        <f t="shared" si="152"/>
        <v>#NUM!</v>
      </c>
      <c r="BJ137" s="66" t="e">
        <f t="shared" si="149"/>
        <v>#NUM!</v>
      </c>
      <c r="BK137" s="63" t="e">
        <f t="shared" si="153"/>
        <v>#NUM!</v>
      </c>
      <c r="BL137" s="51">
        <f t="shared" si="150"/>
        <v>40.176655574070978</v>
      </c>
      <c r="BM137" s="63">
        <f t="shared" si="151"/>
        <v>77.693139646362198</v>
      </c>
    </row>
    <row r="138" spans="14:65" x14ac:dyDescent="0.3">
      <c r="N138" s="11">
        <v>20</v>
      </c>
      <c r="O138" s="52">
        <f t="shared" si="154"/>
        <v>158.48931924611153</v>
      </c>
      <c r="P138" s="50" t="str">
        <f t="shared" si="103"/>
        <v>23.3035714285714</v>
      </c>
      <c r="Q138" s="18" t="str">
        <f t="shared" si="104"/>
        <v>1+0.377699451170733i</v>
      </c>
      <c r="R138" s="18">
        <f t="shared" si="116"/>
        <v>1.0689512970265169</v>
      </c>
      <c r="S138" s="18">
        <f t="shared" si="117"/>
        <v>0.36113520947540828</v>
      </c>
      <c r="T138" s="18" t="str">
        <f t="shared" si="105"/>
        <v>1+0.00176259743879675i</v>
      </c>
      <c r="U138" s="18">
        <f t="shared" si="118"/>
        <v>1.000001553373659</v>
      </c>
      <c r="V138" s="18">
        <f t="shared" si="119"/>
        <v>1.7625956134837794E-3</v>
      </c>
      <c r="W138" s="32" t="str">
        <f t="shared" si="106"/>
        <v>1-0.00243422119607838i</v>
      </c>
      <c r="X138" s="18">
        <f t="shared" si="120"/>
        <v>1.0000029627120268</v>
      </c>
      <c r="Y138" s="18">
        <f t="shared" si="121"/>
        <v>-2.4342163881574085E-3</v>
      </c>
      <c r="Z138" s="32" t="str">
        <f t="shared" si="107"/>
        <v>0.999999899524543+0.00119470746455392i</v>
      </c>
      <c r="AA138" s="18">
        <f t="shared" si="122"/>
        <v>1.0000006131873231</v>
      </c>
      <c r="AB138" s="18">
        <f t="shared" si="123"/>
        <v>1.1947070161807134E-3</v>
      </c>
      <c r="AC138" s="68" t="str">
        <f t="shared" si="124"/>
        <v>20.3798666929059-7.74095671232336i</v>
      </c>
      <c r="AD138" s="66">
        <f t="shared" si="125"/>
        <v>26.769325222014942</v>
      </c>
      <c r="AE138" s="63">
        <f t="shared" si="126"/>
        <v>-20.798456042117728</v>
      </c>
      <c r="AF138" s="51" t="e">
        <f t="shared" si="127"/>
        <v>#NUM!</v>
      </c>
      <c r="AG138" s="51" t="str">
        <f t="shared" si="108"/>
        <v>1-0.528779231639027i</v>
      </c>
      <c r="AH138" s="51">
        <f t="shared" si="128"/>
        <v>1.1311973637755526</v>
      </c>
      <c r="AI138" s="51">
        <f t="shared" si="129"/>
        <v>-0.4864050429792996</v>
      </c>
      <c r="AJ138" s="51" t="str">
        <f t="shared" si="109"/>
        <v>1+0.00176259743879675i</v>
      </c>
      <c r="AK138" s="51">
        <f t="shared" si="130"/>
        <v>1.000001553373659</v>
      </c>
      <c r="AL138" s="51">
        <f t="shared" si="131"/>
        <v>1.7625956134837794E-3</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-0.000170731707317073</v>
      </c>
      <c r="AT138" s="32" t="str">
        <f t="shared" si="112"/>
        <v>0.0000378410749572184i</v>
      </c>
      <c r="AU138" s="32">
        <f t="shared" si="137"/>
        <v>3.7841074957218403E-5</v>
      </c>
      <c r="AV138" s="32">
        <f t="shared" si="138"/>
        <v>1.5707963267948966</v>
      </c>
      <c r="AW138" s="32" t="str">
        <f t="shared" si="113"/>
        <v>1+0.00805668980945098i</v>
      </c>
      <c r="AX138" s="32">
        <f t="shared" si="139"/>
        <v>1.0000324545986925</v>
      </c>
      <c r="AY138" s="32">
        <f t="shared" si="140"/>
        <v>8.056515495654705E-3</v>
      </c>
      <c r="AZ138" s="32" t="str">
        <f t="shared" si="114"/>
        <v>1+0.153077106379569i</v>
      </c>
      <c r="BA138" s="32">
        <f t="shared" si="141"/>
        <v>1.0116484569738353</v>
      </c>
      <c r="BB138" s="32">
        <f t="shared" si="142"/>
        <v>0.1518979756734776</v>
      </c>
      <c r="BC138" s="60" t="str">
        <f t="shared" si="143"/>
        <v>-0.654261970580741+4.5170803114193i</v>
      </c>
      <c r="BD138" s="51">
        <f t="shared" si="144"/>
        <v>13.187324942952705</v>
      </c>
      <c r="BE138" s="63">
        <f t="shared" si="145"/>
        <v>98.241508587188363</v>
      </c>
      <c r="BF138" s="60" t="str">
        <f t="shared" si="146"/>
        <v>21.6327514141115+97.1221081806601i</v>
      </c>
      <c r="BG138" s="66">
        <f t="shared" si="147"/>
        <v>39.956650164967648</v>
      </c>
      <c r="BH138" s="63">
        <f t="shared" si="148"/>
        <v>77.443052545070643</v>
      </c>
      <c r="BI138" s="60" t="e">
        <f t="shared" si="152"/>
        <v>#NUM!</v>
      </c>
      <c r="BJ138" s="66" t="e">
        <f t="shared" si="149"/>
        <v>#NUM!</v>
      </c>
      <c r="BK138" s="63" t="e">
        <f t="shared" si="153"/>
        <v>#NUM!</v>
      </c>
      <c r="BL138" s="51">
        <f t="shared" si="150"/>
        <v>39.956650164967648</v>
      </c>
      <c r="BM138" s="63">
        <f t="shared" si="151"/>
        <v>77.443052545070643</v>
      </c>
    </row>
    <row r="139" spans="14:65" x14ac:dyDescent="0.3">
      <c r="N139" s="11">
        <v>21</v>
      </c>
      <c r="O139" s="52">
        <f t="shared" si="154"/>
        <v>162.18100973589304</v>
      </c>
      <c r="P139" s="50" t="str">
        <f t="shared" si="103"/>
        <v>23.3035714285714</v>
      </c>
      <c r="Q139" s="18" t="str">
        <f t="shared" si="104"/>
        <v>1+0.386497201571296i</v>
      </c>
      <c r="R139" s="18">
        <f t="shared" si="116"/>
        <v>1.0720914545049052</v>
      </c>
      <c r="S139" s="18">
        <f t="shared" si="117"/>
        <v>0.36881211417739673</v>
      </c>
      <c r="T139" s="18" t="str">
        <f t="shared" si="105"/>
        <v>1+0.00180365360733272i</v>
      </c>
      <c r="U139" s="18">
        <f t="shared" si="118"/>
        <v>1.0000016265818448</v>
      </c>
      <c r="V139" s="18">
        <f t="shared" si="119"/>
        <v>1.8036516514748058E-3</v>
      </c>
      <c r="W139" s="32" t="str">
        <f t="shared" si="106"/>
        <v>1-0.00249092149160827i</v>
      </c>
      <c r="X139" s="18">
        <f t="shared" si="120"/>
        <v>1.0000031023401266</v>
      </c>
      <c r="Y139" s="18">
        <f t="shared" si="121"/>
        <v>-2.4909163398289941E-3</v>
      </c>
      <c r="Z139" s="32" t="str">
        <f t="shared" si="107"/>
        <v>0.99999989478928+0.00122253577630353i</v>
      </c>
      <c r="AA139" s="18">
        <f t="shared" si="122"/>
        <v>1.0000006420859413</v>
      </c>
      <c r="AB139" s="18">
        <f t="shared" si="123"/>
        <v>1.2225352958630004E-3</v>
      </c>
      <c r="AC139" s="68" t="str">
        <f t="shared" si="124"/>
        <v>20.2599847131258-7.87493271067795i</v>
      </c>
      <c r="AD139" s="66">
        <f t="shared" si="125"/>
        <v>26.743848504640695</v>
      </c>
      <c r="AE139" s="63">
        <f t="shared" si="126"/>
        <v>-21.240801054471707</v>
      </c>
      <c r="AF139" s="51" t="e">
        <f t="shared" si="127"/>
        <v>#NUM!</v>
      </c>
      <c r="AG139" s="51" t="str">
        <f t="shared" si="108"/>
        <v>1-0.541096082199816i</v>
      </c>
      <c r="AH139" s="51">
        <f t="shared" si="128"/>
        <v>1.1370070229211384</v>
      </c>
      <c r="AI139" s="51">
        <f t="shared" si="129"/>
        <v>-0.49598149812316467</v>
      </c>
      <c r="AJ139" s="51" t="str">
        <f t="shared" si="109"/>
        <v>1+0.00180365360733272i</v>
      </c>
      <c r="AK139" s="51">
        <f t="shared" si="130"/>
        <v>1.0000016265818448</v>
      </c>
      <c r="AL139" s="51">
        <f t="shared" si="131"/>
        <v>1.8036516514748058E-3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-0.000170731707317073</v>
      </c>
      <c r="AT139" s="32" t="str">
        <f t="shared" si="112"/>
        <v>0.0000387225068240923i</v>
      </c>
      <c r="AU139" s="32">
        <f t="shared" si="137"/>
        <v>3.8722506824092297E-5</v>
      </c>
      <c r="AV139" s="32">
        <f t="shared" si="138"/>
        <v>1.5707963267948966</v>
      </c>
      <c r="AW139" s="32" t="str">
        <f t="shared" si="113"/>
        <v>1+0.00824435422299092i</v>
      </c>
      <c r="AX139" s="32">
        <f t="shared" si="139"/>
        <v>1.0000339841108172</v>
      </c>
      <c r="AY139" s="32">
        <f t="shared" si="140"/>
        <v>8.2441674427358533E-3</v>
      </c>
      <c r="AZ139" s="32" t="str">
        <f t="shared" si="114"/>
        <v>1+0.156642730236828i</v>
      </c>
      <c r="BA139" s="32">
        <f t="shared" si="141"/>
        <v>1.0121941241362982</v>
      </c>
      <c r="BB139" s="32">
        <f t="shared" si="142"/>
        <v>0.15538008954497046</v>
      </c>
      <c r="BC139" s="60" t="str">
        <f t="shared" si="143"/>
        <v>-0.654259969247049+4.41450176239147i</v>
      </c>
      <c r="BD139" s="51">
        <f t="shared" si="144"/>
        <v>12.991995426524777</v>
      </c>
      <c r="BE139" s="63">
        <f t="shared" si="145"/>
        <v>98.430267351223691</v>
      </c>
      <c r="BF139" s="60" t="str">
        <f t="shared" si="146"/>
        <v>21.5086073546467+94.5899914552288i</v>
      </c>
      <c r="BG139" s="66">
        <f t="shared" si="147"/>
        <v>39.735843931165476</v>
      </c>
      <c r="BH139" s="63">
        <f t="shared" si="148"/>
        <v>77.189466296751974</v>
      </c>
      <c r="BI139" s="60" t="e">
        <f t="shared" si="152"/>
        <v>#NUM!</v>
      </c>
      <c r="BJ139" s="66" t="e">
        <f t="shared" si="149"/>
        <v>#NUM!</v>
      </c>
      <c r="BK139" s="63" t="e">
        <f t="shared" si="153"/>
        <v>#NUM!</v>
      </c>
      <c r="BL139" s="51">
        <f t="shared" si="150"/>
        <v>39.735843931165476</v>
      </c>
      <c r="BM139" s="63">
        <f t="shared" si="151"/>
        <v>77.189466296751974</v>
      </c>
    </row>
    <row r="140" spans="14:65" x14ac:dyDescent="0.3">
      <c r="N140" s="11">
        <v>22</v>
      </c>
      <c r="O140" s="52">
        <f t="shared" si="154"/>
        <v>165.95869074375622</v>
      </c>
      <c r="P140" s="50" t="str">
        <f t="shared" si="103"/>
        <v>23.3035714285714</v>
      </c>
      <c r="Q140" s="18" t="str">
        <f t="shared" si="104"/>
        <v>1+0.395499877904031i</v>
      </c>
      <c r="R140" s="18">
        <f t="shared" si="116"/>
        <v>1.075369775203908</v>
      </c>
      <c r="S140" s="18">
        <f t="shared" si="117"/>
        <v>0.3766209517624301</v>
      </c>
      <c r="T140" s="18" t="str">
        <f t="shared" si="105"/>
        <v>1+0.00184566609688548i</v>
      </c>
      <c r="U140" s="18">
        <f t="shared" si="118"/>
        <v>1.00000170324022</v>
      </c>
      <c r="V140" s="18">
        <f t="shared" si="119"/>
        <v>1.8456640011461595E-3</v>
      </c>
      <c r="W140" s="32" t="str">
        <f t="shared" si="106"/>
        <v>1-0.00254894250668427i</v>
      </c>
      <c r="X140" s="18">
        <f t="shared" si="120"/>
        <v>1.0000032485486747</v>
      </c>
      <c r="Y140" s="18">
        <f t="shared" si="121"/>
        <v>-2.5489369864542884E-3</v>
      </c>
      <c r="Z140" s="32" t="str">
        <f t="shared" si="107"/>
        <v>0.999999889830852+0.00125101229270391i</v>
      </c>
      <c r="AA140" s="18">
        <f t="shared" si="122"/>
        <v>1.0000006723465102</v>
      </c>
      <c r="AB140" s="18">
        <f t="shared" si="123"/>
        <v>1.2510117779026256E-3</v>
      </c>
      <c r="AC140" s="68" t="str">
        <f t="shared" si="124"/>
        <v>20.135946902418-8.00930652186408i</v>
      </c>
      <c r="AD140" s="66">
        <f t="shared" si="125"/>
        <v>26.717330347091689</v>
      </c>
      <c r="AE140" s="63">
        <f t="shared" si="126"/>
        <v>-21.690763281086074</v>
      </c>
      <c r="AF140" s="51" t="e">
        <f t="shared" si="127"/>
        <v>#NUM!</v>
      </c>
      <c r="AG140" s="51" t="str">
        <f t="shared" si="108"/>
        <v>1-0.553699829065644i</v>
      </c>
      <c r="AH140" s="51">
        <f t="shared" si="128"/>
        <v>1.1430588351906141</v>
      </c>
      <c r="AI140" s="51">
        <f t="shared" si="129"/>
        <v>-0.50567933216056971</v>
      </c>
      <c r="AJ140" s="51" t="str">
        <f t="shared" si="109"/>
        <v>1+0.00184566609688548i</v>
      </c>
      <c r="AK140" s="51">
        <f t="shared" si="130"/>
        <v>1.00000170324022</v>
      </c>
      <c r="AL140" s="51">
        <f t="shared" si="131"/>
        <v>1.8456640011461595E-3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-0.000170731707317073</v>
      </c>
      <c r="AT140" s="32" t="str">
        <f t="shared" si="112"/>
        <v>0.0000396244698766373i</v>
      </c>
      <c r="AU140" s="32">
        <f t="shared" si="137"/>
        <v>3.9624469876637299E-5</v>
      </c>
      <c r="AV140" s="32">
        <f t="shared" si="138"/>
        <v>1.5707963267948966</v>
      </c>
      <c r="AW140" s="32" t="str">
        <f t="shared" si="113"/>
        <v>1+0.00843638990226687i</v>
      </c>
      <c r="AX140" s="32">
        <f t="shared" si="139"/>
        <v>1.0000355857041203</v>
      </c>
      <c r="AY140" s="32">
        <f t="shared" si="140"/>
        <v>8.4361897640023685E-3</v>
      </c>
      <c r="AZ140" s="32" t="str">
        <f t="shared" si="114"/>
        <v>1+0.160291408143071i</v>
      </c>
      <c r="BA140" s="32">
        <f t="shared" si="141"/>
        <v>1.0127651926900374</v>
      </c>
      <c r="BB140" s="32">
        <f t="shared" si="142"/>
        <v>0.15893938356704129</v>
      </c>
      <c r="BC140" s="60" t="str">
        <f t="shared" si="143"/>
        <v>-0.654257873606533+4.31426383907538i</v>
      </c>
      <c r="BD140" s="51">
        <f t="shared" si="144"/>
        <v>12.796880615223037</v>
      </c>
      <c r="BE140" s="63">
        <f t="shared" si="145"/>
        <v>98.623197808153606</v>
      </c>
      <c r="BF140" s="60" t="str">
        <f t="shared" si="146"/>
        <v>21.3801596999187+92.1119394407016i</v>
      </c>
      <c r="BG140" s="66">
        <f t="shared" si="147"/>
        <v>39.514210962314721</v>
      </c>
      <c r="BH140" s="63">
        <f t="shared" si="148"/>
        <v>76.932434527067571</v>
      </c>
      <c r="BI140" s="60" t="e">
        <f t="shared" si="152"/>
        <v>#NUM!</v>
      </c>
      <c r="BJ140" s="66" t="e">
        <f t="shared" si="149"/>
        <v>#NUM!</v>
      </c>
      <c r="BK140" s="63" t="e">
        <f t="shared" si="153"/>
        <v>#NUM!</v>
      </c>
      <c r="BL140" s="51">
        <f t="shared" si="150"/>
        <v>39.514210962314721</v>
      </c>
      <c r="BM140" s="63">
        <f t="shared" si="151"/>
        <v>76.932434527067571</v>
      </c>
    </row>
    <row r="141" spans="14:65" x14ac:dyDescent="0.3">
      <c r="N141" s="11">
        <v>23</v>
      </c>
      <c r="O141" s="52">
        <f t="shared" si="154"/>
        <v>169.82436524617444</v>
      </c>
      <c r="P141" s="50" t="str">
        <f t="shared" si="103"/>
        <v>23.3035714285714</v>
      </c>
      <c r="Q141" s="18" t="str">
        <f t="shared" si="104"/>
        <v>1+0.404712253507087i</v>
      </c>
      <c r="R141" s="18">
        <f t="shared" si="116"/>
        <v>1.078791920686647</v>
      </c>
      <c r="S141" s="18">
        <f t="shared" si="117"/>
        <v>0.38456205221827922</v>
      </c>
      <c r="T141" s="18" t="str">
        <f t="shared" si="105"/>
        <v>1+0.00188865718303307i</v>
      </c>
      <c r="U141" s="18">
        <f t="shared" si="118"/>
        <v>1.000001783511387</v>
      </c>
      <c r="V141" s="18">
        <f t="shared" si="119"/>
        <v>1.8886549374081455E-3</v>
      </c>
      <c r="W141" s="32" t="str">
        <f t="shared" si="106"/>
        <v>1-0.00260831500481655i</v>
      </c>
      <c r="X141" s="18">
        <f t="shared" si="120"/>
        <v>1.0000034016477966</v>
      </c>
      <c r="Y141" s="18">
        <f t="shared" si="121"/>
        <v>-2.608309089784642E-3</v>
      </c>
      <c r="Z141" s="32" t="str">
        <f t="shared" si="107"/>
        <v>0.99999988463874+0.00128015211238099i</v>
      </c>
      <c r="AA141" s="18">
        <f t="shared" si="122"/>
        <v>1.0000007040332144</v>
      </c>
      <c r="AB141" s="18">
        <f t="shared" si="123"/>
        <v>1.280151560761496E-3</v>
      </c>
      <c r="AC141" s="68" t="str">
        <f t="shared" si="124"/>
        <v>20.007671793898-8.14395273218784i</v>
      </c>
      <c r="AD141" s="66">
        <f t="shared" si="125"/>
        <v>26.689734910570188</v>
      </c>
      <c r="AE141" s="63">
        <f t="shared" si="126"/>
        <v>-22.148362980205942</v>
      </c>
      <c r="AF141" s="51" t="e">
        <f t="shared" si="127"/>
        <v>#NUM!</v>
      </c>
      <c r="AG141" s="51" t="str">
        <f t="shared" si="108"/>
        <v>1-0.566597154909923i</v>
      </c>
      <c r="AH141" s="51">
        <f t="shared" si="128"/>
        <v>1.1493617080588769</v>
      </c>
      <c r="AI141" s="51">
        <f t="shared" si="129"/>
        <v>-0.51549638975808632</v>
      </c>
      <c r="AJ141" s="51" t="str">
        <f t="shared" si="109"/>
        <v>1+0.00188865718303307i</v>
      </c>
      <c r="AK141" s="51">
        <f t="shared" si="130"/>
        <v>1.000001783511387</v>
      </c>
      <c r="AL141" s="51">
        <f t="shared" si="131"/>
        <v>1.8886549374081455E-3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-0.000170731707317073</v>
      </c>
      <c r="AT141" s="32" t="str">
        <f t="shared" si="112"/>
        <v>0.0000405474423476028i</v>
      </c>
      <c r="AU141" s="32">
        <f t="shared" si="137"/>
        <v>4.0547442347602798E-5</v>
      </c>
      <c r="AV141" s="32">
        <f t="shared" si="138"/>
        <v>1.5707963267948966</v>
      </c>
      <c r="AW141" s="32" t="str">
        <f t="shared" si="113"/>
        <v>1+0.00863289866713778i</v>
      </c>
      <c r="AX141" s="32">
        <f t="shared" si="139"/>
        <v>1.0000372627754412</v>
      </c>
      <c r="AY141" s="32">
        <f t="shared" si="140"/>
        <v>8.6326842155552228E-3</v>
      </c>
      <c r="AZ141" s="32" t="str">
        <f t="shared" si="114"/>
        <v>1+0.164025074675618i</v>
      </c>
      <c r="BA141" s="32">
        <f t="shared" si="141"/>
        <v>1.0133628299490476</v>
      </c>
      <c r="BB141" s="32">
        <f t="shared" si="142"/>
        <v>0.16257738401068544</v>
      </c>
      <c r="BC141" s="60" t="str">
        <f t="shared" si="143"/>
        <v>-0.654255679215907+4.21631339388606i</v>
      </c>
      <c r="BD141" s="51">
        <f t="shared" si="144"/>
        <v>12.601990119407967</v>
      </c>
      <c r="BE141" s="63">
        <f t="shared" si="145"/>
        <v>98.820381576669419</v>
      </c>
      <c r="BF141" s="60" t="str">
        <f t="shared" si="146"/>
        <v>21.2473240848529+89.6868418913883i</v>
      </c>
      <c r="BG141" s="66">
        <f t="shared" si="147"/>
        <v>39.29172502997816</v>
      </c>
      <c r="BH141" s="63">
        <f t="shared" si="148"/>
        <v>76.672018596463474</v>
      </c>
      <c r="BI141" s="60" t="e">
        <f t="shared" si="152"/>
        <v>#NUM!</v>
      </c>
      <c r="BJ141" s="66" t="e">
        <f t="shared" si="149"/>
        <v>#NUM!</v>
      </c>
      <c r="BK141" s="63" t="e">
        <f t="shared" si="153"/>
        <v>#NUM!</v>
      </c>
      <c r="BL141" s="51">
        <f t="shared" si="150"/>
        <v>39.29172502997816</v>
      </c>
      <c r="BM141" s="63">
        <f t="shared" si="151"/>
        <v>76.672018596463474</v>
      </c>
    </row>
    <row r="142" spans="14:65" x14ac:dyDescent="0.3">
      <c r="N142" s="11">
        <v>24</v>
      </c>
      <c r="O142" s="52">
        <f t="shared" si="154"/>
        <v>173.78008287493768</v>
      </c>
      <c r="P142" s="50" t="str">
        <f t="shared" si="103"/>
        <v>23.3035714285714</v>
      </c>
      <c r="Q142" s="18" t="str">
        <f t="shared" si="104"/>
        <v>1+0.414139212903956i</v>
      </c>
      <c r="R142" s="18">
        <f t="shared" si="116"/>
        <v>1.0823637501619814</v>
      </c>
      <c r="S142" s="18">
        <f t="shared" si="117"/>
        <v>0.39263561878911868</v>
      </c>
      <c r="T142" s="18" t="str">
        <f t="shared" si="105"/>
        <v>1+0.00193264966021846i</v>
      </c>
      <c r="U142" s="18">
        <f t="shared" si="118"/>
        <v>1.0000018675656106</v>
      </c>
      <c r="V142" s="18">
        <f t="shared" si="119"/>
        <v>1.9326472539882436E-3</v>
      </c>
      <c r="W142" s="32" t="str">
        <f t="shared" si="106"/>
        <v>1-0.00266907046608953i</v>
      </c>
      <c r="X142" s="18">
        <f t="shared" si="120"/>
        <v>1.0000035619622327</v>
      </c>
      <c r="Y142" s="18">
        <f t="shared" si="121"/>
        <v>-2.6690641280198691E-3</v>
      </c>
      <c r="Z142" s="32" t="str">
        <f t="shared" si="107"/>
        <v>0.999999879201931+0.00130997068565288i</v>
      </c>
      <c r="AA142" s="18">
        <f t="shared" si="122"/>
        <v>1.0000007372132653</v>
      </c>
      <c r="AB142" s="18">
        <f t="shared" si="123"/>
        <v>1.309970094581967E-3</v>
      </c>
      <c r="AC142" s="68" t="str">
        <f t="shared" si="124"/>
        <v>19.8750815512518-8.27873894541471i</v>
      </c>
      <c r="AD142" s="66">
        <f t="shared" si="125"/>
        <v>26.661025675847068</v>
      </c>
      <c r="AE142" s="63">
        <f t="shared" si="126"/>
        <v>-22.613613179676133</v>
      </c>
      <c r="AF142" s="51" t="e">
        <f t="shared" si="127"/>
        <v>#NUM!</v>
      </c>
      <c r="AG142" s="51" t="str">
        <f t="shared" si="108"/>
        <v>1-0.57979489806554i</v>
      </c>
      <c r="AH142" s="51">
        <f t="shared" si="128"/>
        <v>1.1559247915945179</v>
      </c>
      <c r="AI142" s="51">
        <f t="shared" si="129"/>
        <v>-0.52543030642833666</v>
      </c>
      <c r="AJ142" s="51" t="str">
        <f t="shared" si="109"/>
        <v>1+0.00193264966021846i</v>
      </c>
      <c r="AK142" s="51">
        <f t="shared" si="130"/>
        <v>1.0000018675656106</v>
      </c>
      <c r="AL142" s="51">
        <f t="shared" si="131"/>
        <v>1.9326472539882436E-3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-0.000170731707317073</v>
      </c>
      <c r="AT142" s="32" t="str">
        <f t="shared" si="112"/>
        <v>0.0000414919136092099i</v>
      </c>
      <c r="AU142" s="32">
        <f t="shared" si="137"/>
        <v>4.1491913609209898E-5</v>
      </c>
      <c r="AV142" s="32">
        <f t="shared" si="138"/>
        <v>1.5707963267948966</v>
      </c>
      <c r="AW142" s="32" t="str">
        <f t="shared" si="113"/>
        <v>1+0.00883398470915199i</v>
      </c>
      <c r="AX142" s="32">
        <f t="shared" si="139"/>
        <v>1.0000390188816841</v>
      </c>
      <c r="AY142" s="32">
        <f t="shared" si="140"/>
        <v>8.8337549206254674E-3</v>
      </c>
      <c r="AZ142" s="32" t="str">
        <f t="shared" si="114"/>
        <v>1+0.167845709473888i</v>
      </c>
      <c r="BA142" s="32">
        <f t="shared" si="141"/>
        <v>1.0139882554491413</v>
      </c>
      <c r="BB142" s="32">
        <f t="shared" si="142"/>
        <v>0.16629563440325182</v>
      </c>
      <c r="BC142" s="60" t="str">
        <f t="shared" si="143"/>
        <v>-0.654253381422618+4.12059849208172i</v>
      </c>
      <c r="BD142" s="51">
        <f t="shared" si="144"/>
        <v>12.407333955242692</v>
      </c>
      <c r="BE142" s="63">
        <f t="shared" si="145"/>
        <v>99.021901128552102</v>
      </c>
      <c r="BF142" s="60" t="str">
        <f t="shared" si="146"/>
        <v>21.1100199038573+87.3136240190421i</v>
      </c>
      <c r="BG142" s="66">
        <f t="shared" si="147"/>
        <v>39.068359631089763</v>
      </c>
      <c r="BH142" s="63">
        <f t="shared" si="148"/>
        <v>76.408287948875966</v>
      </c>
      <c r="BI142" s="60" t="e">
        <f t="shared" si="152"/>
        <v>#NUM!</v>
      </c>
      <c r="BJ142" s="66" t="e">
        <f t="shared" si="149"/>
        <v>#NUM!</v>
      </c>
      <c r="BK142" s="63" t="e">
        <f t="shared" si="153"/>
        <v>#NUM!</v>
      </c>
      <c r="BL142" s="51">
        <f t="shared" si="150"/>
        <v>39.068359631089763</v>
      </c>
      <c r="BM142" s="63">
        <f t="shared" si="151"/>
        <v>76.408287948875966</v>
      </c>
    </row>
    <row r="143" spans="14:65" x14ac:dyDescent="0.3">
      <c r="N143" s="11">
        <v>25</v>
      </c>
      <c r="O143" s="52">
        <f t="shared" si="154"/>
        <v>177.82794100389242</v>
      </c>
      <c r="P143" s="50" t="str">
        <f t="shared" si="103"/>
        <v>23.3035714285714</v>
      </c>
      <c r="Q143" s="18" t="str">
        <f t="shared" si="104"/>
        <v>1+0.423785754393287i</v>
      </c>
      <c r="R143" s="18">
        <f t="shared" si="116"/>
        <v>1.0860913247175339</v>
      </c>
      <c r="S143" s="18">
        <f t="shared" si="117"/>
        <v>0.40084172110046085</v>
      </c>
      <c r="T143" s="18" t="str">
        <f t="shared" si="105"/>
        <v>1+0.00197766685383534i</v>
      </c>
      <c r="U143" s="18">
        <f t="shared" si="118"/>
        <v>1.0000019555811801</v>
      </c>
      <c r="V143" s="18">
        <f t="shared" si="119"/>
        <v>1.9776642755134828E-3</v>
      </c>
      <c r="W143" s="32" t="str">
        <f t="shared" si="106"/>
        <v>1-0.00273124110385295i</v>
      </c>
      <c r="X143" s="18">
        <f t="shared" si="120"/>
        <v>1.0000037298320279</v>
      </c>
      <c r="Y143" s="18">
        <f t="shared" si="121"/>
        <v>-2.7312343124903178E-3</v>
      </c>
      <c r="Z143" s="32" t="str">
        <f t="shared" si="107"/>
        <v>0.999999873508894+0.00134048382272181i</v>
      </c>
      <c r="AA143" s="18">
        <f t="shared" si="122"/>
        <v>1.0000007719570434</v>
      </c>
      <c r="AB143" s="18">
        <f t="shared" si="123"/>
        <v>1.3404831893779412E-3</v>
      </c>
      <c r="AC143" s="68" t="str">
        <f t="shared" si="124"/>
        <v>19.7381024706646-8.41352576886517i</v>
      </c>
      <c r="AD143" s="66">
        <f t="shared" si="125"/>
        <v>26.631165476404615</v>
      </c>
      <c r="AE143" s="63">
        <f t="shared" si="126"/>
        <v>-23.086519283762289</v>
      </c>
      <c r="AF143" s="51" t="e">
        <f t="shared" si="127"/>
        <v>#NUM!</v>
      </c>
      <c r="AG143" s="51" t="str">
        <f t="shared" si="108"/>
        <v>1-0.593300056150603i</v>
      </c>
      <c r="AH143" s="51">
        <f t="shared" si="128"/>
        <v>1.1627574797129059</v>
      </c>
      <c r="AI143" s="51">
        <f t="shared" si="129"/>
        <v>-0.53547850618513237</v>
      </c>
      <c r="AJ143" s="51" t="str">
        <f t="shared" si="109"/>
        <v>1+0.00197766685383534i</v>
      </c>
      <c r="AK143" s="51">
        <f t="shared" si="130"/>
        <v>1.0000019555811801</v>
      </c>
      <c r="AL143" s="51">
        <f t="shared" si="131"/>
        <v>1.9776642755134828E-3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-0.000170731707317073</v>
      </c>
      <c r="AT143" s="32" t="str">
        <f t="shared" si="112"/>
        <v>0.0000424583844326229i</v>
      </c>
      <c r="AU143" s="32">
        <f t="shared" si="137"/>
        <v>4.2458384432622901E-5</v>
      </c>
      <c r="AV143" s="32">
        <f t="shared" si="138"/>
        <v>1.5707963267948966</v>
      </c>
      <c r="AW143" s="32" t="str">
        <f t="shared" si="113"/>
        <v>1+0.0090397546467906i</v>
      </c>
      <c r="AX143" s="32">
        <f t="shared" si="139"/>
        <v>1.0000408577473594</v>
      </c>
      <c r="AY143" s="32">
        <f t="shared" si="140"/>
        <v>9.0395084244916206E-3</v>
      </c>
      <c r="AZ143" s="32" t="str">
        <f t="shared" si="114"/>
        <v>1+0.171755338289022i</v>
      </c>
      <c r="BA143" s="32">
        <f t="shared" si="141"/>
        <v>1.0146427431518823</v>
      </c>
      <c r="BB143" s="32">
        <f t="shared" si="142"/>
        <v>0.17009569475252842</v>
      </c>
      <c r="BC143" s="60" t="str">
        <f t="shared" si="143"/>
        <v>-0.654250975354969+4.02706838422683i</v>
      </c>
      <c r="BD143" s="51">
        <f t="shared" si="144"/>
        <v>12.212922559547314</v>
      </c>
      <c r="BE143" s="63">
        <f t="shared" si="145"/>
        <v>99.22783974106909</v>
      </c>
      <c r="BF143" s="60" t="str">
        <f t="shared" si="146"/>
        <v>20.968170830586+84.9912458646971i</v>
      </c>
      <c r="BG143" s="66">
        <f t="shared" si="147"/>
        <v>38.844088035951934</v>
      </c>
      <c r="BH143" s="63">
        <f t="shared" si="148"/>
        <v>76.141320457306819</v>
      </c>
      <c r="BI143" s="60" t="e">
        <f t="shared" si="152"/>
        <v>#NUM!</v>
      </c>
      <c r="BJ143" s="66" t="e">
        <f t="shared" si="149"/>
        <v>#NUM!</v>
      </c>
      <c r="BK143" s="63" t="e">
        <f t="shared" si="153"/>
        <v>#NUM!</v>
      </c>
      <c r="BL143" s="51">
        <f t="shared" si="150"/>
        <v>38.844088035951934</v>
      </c>
      <c r="BM143" s="63">
        <f t="shared" si="151"/>
        <v>76.141320457306819</v>
      </c>
    </row>
    <row r="144" spans="14:65" x14ac:dyDescent="0.3">
      <c r="N144" s="11">
        <v>26</v>
      </c>
      <c r="O144" s="52">
        <f t="shared" si="154"/>
        <v>181.9700858609983</v>
      </c>
      <c r="P144" s="50" t="str">
        <f t="shared" si="103"/>
        <v>23.3035714285714</v>
      </c>
      <c r="Q144" s="18" t="str">
        <f t="shared" si="104"/>
        <v>1+0.43365699269906i</v>
      </c>
      <c r="R144" s="18">
        <f t="shared" si="116"/>
        <v>1.0899809114460641</v>
      </c>
      <c r="S144" s="18">
        <f t="shared" si="117"/>
        <v>0.40918028828692149</v>
      </c>
      <c r="T144" s="18" t="str">
        <f t="shared" si="105"/>
        <v>1+0.00202373263259561i</v>
      </c>
      <c r="U144" s="18">
        <f t="shared" si="118"/>
        <v>1.0000020477447875</v>
      </c>
      <c r="V144" s="18">
        <f t="shared" si="119"/>
        <v>2.0237298698742704E-3</v>
      </c>
      <c r="W144" s="32" t="str">
        <f t="shared" si="106"/>
        <v>1-0.00279485988180185i</v>
      </c>
      <c r="X144" s="18">
        <f t="shared" si="120"/>
        <v>1.0000039056132526</v>
      </c>
      <c r="Y144" s="18">
        <f t="shared" si="121"/>
        <v>-2.7948526047272162E-3</v>
      </c>
      <c r="Z144" s="32" t="str">
        <f t="shared" si="107"/>
        <v>0.999999867547551+0.00137170770205693i</v>
      </c>
      <c r="AA144" s="18">
        <f t="shared" si="122"/>
        <v>1.000000808338243</v>
      </c>
      <c r="AB144" s="18">
        <f t="shared" si="123"/>
        <v>1.3717070234167783E-3</v>
      </c>
      <c r="AC144" s="68" t="str">
        <f t="shared" si="124"/>
        <v>19.5966655018988-8.54816683351848i</v>
      </c>
      <c r="AD144" s="66">
        <f t="shared" si="125"/>
        <v>26.600116535949979</v>
      </c>
      <c r="AE144" s="63">
        <f t="shared" si="126"/>
        <v>-23.567078680150743</v>
      </c>
      <c r="AF144" s="51" t="e">
        <f t="shared" si="127"/>
        <v>#NUM!</v>
      </c>
      <c r="AG144" s="51" t="str">
        <f t="shared" si="108"/>
        <v>1-0.607119789778685i</v>
      </c>
      <c r="AH144" s="51">
        <f t="shared" si="128"/>
        <v>1.16986941114849</v>
      </c>
      <c r="AI144" s="51">
        <f t="shared" si="129"/>
        <v>-0.54563819991508677</v>
      </c>
      <c r="AJ144" s="51" t="str">
        <f t="shared" si="109"/>
        <v>1+0.00202373263259561i</v>
      </c>
      <c r="AK144" s="51">
        <f t="shared" si="130"/>
        <v>1.0000020477447875</v>
      </c>
      <c r="AL144" s="51">
        <f t="shared" si="131"/>
        <v>2.0237298698742704E-3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-0.000170731707317073</v>
      </c>
      <c r="AT144" s="32" t="str">
        <f t="shared" si="112"/>
        <v>0.0000434473672534652i</v>
      </c>
      <c r="AU144" s="32">
        <f t="shared" si="137"/>
        <v>4.34473672534652E-5</v>
      </c>
      <c r="AV144" s="32">
        <f t="shared" si="138"/>
        <v>1.5707963267948966</v>
      </c>
      <c r="AW144" s="32" t="str">
        <f t="shared" si="113"/>
        <v>1+0.00925031758199813i</v>
      </c>
      <c r="AX144" s="32">
        <f t="shared" si="139"/>
        <v>1.0000427832724796</v>
      </c>
      <c r="AY144" s="32">
        <f t="shared" si="140"/>
        <v>9.2500537506609928E-3</v>
      </c>
      <c r="AZ144" s="32" t="str">
        <f t="shared" si="114"/>
        <v>1+0.175756034057965i</v>
      </c>
      <c r="BA144" s="32">
        <f t="shared" si="141"/>
        <v>1.0153276237292987</v>
      </c>
      <c r="BB144" s="32">
        <f t="shared" si="142"/>
        <v>0.17397914068341352</v>
      </c>
      <c r="BC144" s="60" t="str">
        <f t="shared" si="143"/>
        <v>-0.654248455911804+3.93567347928332i</v>
      </c>
      <c r="BD144" s="51">
        <f t="shared" si="144"/>
        <v>12.018766804979391</v>
      </c>
      <c r="BE144" s="63">
        <f t="shared" si="145"/>
        <v>99.438281444290354</v>
      </c>
      <c r="BF144" s="60" t="str">
        <f t="shared" si="146"/>
        <v>20.8217053575305+82.7187016499154i</v>
      </c>
      <c r="BG144" s="66">
        <f t="shared" si="147"/>
        <v>38.618883340929372</v>
      </c>
      <c r="BH144" s="63">
        <f t="shared" si="148"/>
        <v>75.871202764139639</v>
      </c>
      <c r="BI144" s="60" t="e">
        <f t="shared" si="152"/>
        <v>#NUM!</v>
      </c>
      <c r="BJ144" s="66" t="e">
        <f t="shared" si="149"/>
        <v>#NUM!</v>
      </c>
      <c r="BK144" s="63" t="e">
        <f t="shared" si="153"/>
        <v>#NUM!</v>
      </c>
      <c r="BL144" s="51">
        <f t="shared" si="150"/>
        <v>38.618883340929372</v>
      </c>
      <c r="BM144" s="63">
        <f t="shared" si="151"/>
        <v>75.871202764139639</v>
      </c>
    </row>
    <row r="145" spans="14:65" x14ac:dyDescent="0.3">
      <c r="N145" s="11">
        <v>27</v>
      </c>
      <c r="O145" s="52">
        <f t="shared" si="154"/>
        <v>186.20871366628685</v>
      </c>
      <c r="P145" s="50" t="str">
        <f t="shared" si="103"/>
        <v>23.3035714285714</v>
      </c>
      <c r="Q145" s="18" t="str">
        <f t="shared" si="104"/>
        <v>1+0.443758161682494i</v>
      </c>
      <c r="R145" s="18">
        <f t="shared" si="116"/>
        <v>1.0940389874496368</v>
      </c>
      <c r="S145" s="18">
        <f t="shared" si="117"/>
        <v>0.41765110215769435</v>
      </c>
      <c r="T145" s="18" t="str">
        <f t="shared" si="105"/>
        <v>1+0.00207087142118497i</v>
      </c>
      <c r="U145" s="18">
        <f t="shared" si="118"/>
        <v>1.0000021442519227</v>
      </c>
      <c r="V145" s="18">
        <f t="shared" si="119"/>
        <v>2.0708684608760622E-3</v>
      </c>
      <c r="W145" s="32" t="str">
        <f t="shared" si="106"/>
        <v>1-0.00285996053145445i</v>
      </c>
      <c r="X145" s="18">
        <f t="shared" si="120"/>
        <v>1.0000040896787581</v>
      </c>
      <c r="Y145" s="18">
        <f t="shared" si="121"/>
        <v>-2.8599527339302163E-3</v>
      </c>
      <c r="Z145" s="32" t="str">
        <f t="shared" si="107"/>
        <v>0.99999986130526+0.0014036588789724i</v>
      </c>
      <c r="AA145" s="18">
        <f t="shared" si="122"/>
        <v>1.0000008464340355</v>
      </c>
      <c r="AB145" s="18">
        <f t="shared" si="123"/>
        <v>1.4036581517964085E-3</v>
      </c>
      <c r="AC145" s="68" t="str">
        <f t="shared" si="124"/>
        <v>19.4507067865699-8.68250885110155i</v>
      </c>
      <c r="AD145" s="66">
        <f t="shared" si="125"/>
        <v>26.567840510453486</v>
      </c>
      <c r="AE145" s="63">
        <f t="shared" si="126"/>
        <v>-24.055280349126321</v>
      </c>
      <c r="AF145" s="51" t="e">
        <f t="shared" si="127"/>
        <v>#NUM!</v>
      </c>
      <c r="AG145" s="51" t="str">
        <f t="shared" si="108"/>
        <v>1-0.621261426355493i</v>
      </c>
      <c r="AH145" s="51">
        <f t="shared" si="128"/>
        <v>1.1772704701457781</v>
      </c>
      <c r="AI145" s="51">
        <f t="shared" si="129"/>
        <v>-0.55590638451575836</v>
      </c>
      <c r="AJ145" s="51" t="str">
        <f t="shared" si="109"/>
        <v>1+0.00207087142118497i</v>
      </c>
      <c r="AK145" s="51">
        <f t="shared" si="130"/>
        <v>1.0000021442519227</v>
      </c>
      <c r="AL145" s="51">
        <f t="shared" si="131"/>
        <v>2.0708684608760622E-3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-0.000170731707317073</v>
      </c>
      <c r="AT145" s="32" t="str">
        <f t="shared" si="112"/>
        <v>0.0000444593864435193i</v>
      </c>
      <c r="AU145" s="32">
        <f t="shared" si="137"/>
        <v>4.4459386443519297E-5</v>
      </c>
      <c r="AV145" s="32">
        <f t="shared" si="138"/>
        <v>1.5707963267948966</v>
      </c>
      <c r="AW145" s="32" t="str">
        <f t="shared" si="113"/>
        <v>1+0.00946578515803013i</v>
      </c>
      <c r="AX145" s="32">
        <f t="shared" si="139"/>
        <v>1.0000447995408295</v>
      </c>
      <c r="AY145" s="32">
        <f t="shared" si="140"/>
        <v>9.4655024583430395E-3</v>
      </c>
      <c r="AZ145" s="32" t="str">
        <f t="shared" si="114"/>
        <v>1+0.179849918002573i</v>
      </c>
      <c r="BA145" s="32">
        <f t="shared" si="141"/>
        <v>1.0160442869312007</v>
      </c>
      <c r="BB145" s="32">
        <f t="shared" si="142"/>
        <v>0.17794756248181684</v>
      </c>
      <c r="BC145" s="60" t="str">
        <f t="shared" si="143"/>
        <v>-0.654245817751743+3.84636531831621i</v>
      </c>
      <c r="BD145" s="51">
        <f t="shared" si="144"/>
        <v>11.824878015526465</v>
      </c>
      <c r="BE145" s="63">
        <f t="shared" si="145"/>
        <v>99.65331096301486</v>
      </c>
      <c r="BF145" s="60" t="str">
        <f t="shared" si="146"/>
        <v>20.6705573534217+80.4950191040259i</v>
      </c>
      <c r="BG145" s="66">
        <f t="shared" si="147"/>
        <v>38.392718525979951</v>
      </c>
      <c r="BH145" s="63">
        <f t="shared" si="148"/>
        <v>75.598030613888568</v>
      </c>
      <c r="BI145" s="60" t="e">
        <f t="shared" si="152"/>
        <v>#NUM!</v>
      </c>
      <c r="BJ145" s="66" t="e">
        <f t="shared" si="149"/>
        <v>#NUM!</v>
      </c>
      <c r="BK145" s="63" t="e">
        <f t="shared" si="153"/>
        <v>#NUM!</v>
      </c>
      <c r="BL145" s="51">
        <f t="shared" si="150"/>
        <v>38.392718525979951</v>
      </c>
      <c r="BM145" s="63">
        <f t="shared" si="151"/>
        <v>75.598030613888568</v>
      </c>
    </row>
    <row r="146" spans="14:65" x14ac:dyDescent="0.3">
      <c r="N146" s="11">
        <v>28</v>
      </c>
      <c r="O146" s="52">
        <f t="shared" si="154"/>
        <v>190.54607179632498</v>
      </c>
      <c r="P146" s="50" t="str">
        <f t="shared" si="103"/>
        <v>23.3035714285714</v>
      </c>
      <c r="Q146" s="18" t="str">
        <f t="shared" si="104"/>
        <v>1+0.45409461711709i</v>
      </c>
      <c r="R146" s="18">
        <f t="shared" si="116"/>
        <v>1.0982722437058658</v>
      </c>
      <c r="S146" s="18">
        <f t="shared" si="117"/>
        <v>0.42625379043751682</v>
      </c>
      <c r="T146" s="18" t="str">
        <f t="shared" si="105"/>
        <v>1+0.00211910821321309i</v>
      </c>
      <c r="U146" s="18">
        <f t="shared" si="118"/>
        <v>1.000002245307289</v>
      </c>
      <c r="V146" s="18">
        <f t="shared" si="119"/>
        <v>2.1191050411853308E-3</v>
      </c>
      <c r="W146" s="32" t="str">
        <f t="shared" si="106"/>
        <v>1-0.0029265775700369i</v>
      </c>
      <c r="X146" s="18">
        <f t="shared" si="120"/>
        <v>1.0000042824189672</v>
      </c>
      <c r="Y146" s="18">
        <f t="shared" si="121"/>
        <v>-2.9265692148410833E-3</v>
      </c>
      <c r="Z146" s="32" t="str">
        <f t="shared" si="107"/>
        <v>0.999999854768778+0.00143635429440512i</v>
      </c>
      <c r="AA146" s="18">
        <f t="shared" si="122"/>
        <v>1.0000008863252252</v>
      </c>
      <c r="AB146" s="18">
        <f t="shared" si="123"/>
        <v>1.4363535152220443E-3</v>
      </c>
      <c r="AC146" s="68" t="str">
        <f t="shared" si="124"/>
        <v>19.3001682113051-8.81639171109982i</v>
      </c>
      <c r="AD146" s="66">
        <f t="shared" si="125"/>
        <v>26.534298534850535</v>
      </c>
      <c r="AE146" s="63">
        <f t="shared" si="126"/>
        <v>-24.551104477093087</v>
      </c>
      <c r="AF146" s="51" t="e">
        <f t="shared" si="127"/>
        <v>#NUM!</v>
      </c>
      <c r="AG146" s="51" t="str">
        <f t="shared" si="108"/>
        <v>1-0.635732463963927i</v>
      </c>
      <c r="AH146" s="51">
        <f t="shared" si="128"/>
        <v>1.1849707868709869</v>
      </c>
      <c r="AI146" s="51">
        <f t="shared" si="129"/>
        <v>-0.56627984284728994</v>
      </c>
      <c r="AJ146" s="51" t="str">
        <f t="shared" si="109"/>
        <v>1+0.00211910821321309i</v>
      </c>
      <c r="AK146" s="51">
        <f t="shared" si="130"/>
        <v>1.000002245307289</v>
      </c>
      <c r="AL146" s="51">
        <f t="shared" si="131"/>
        <v>2.1191050411853308E-3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-0.000170731707317073</v>
      </c>
      <c r="AT146" s="32" t="str">
        <f t="shared" si="112"/>
        <v>0.0000454949785887553i</v>
      </c>
      <c r="AU146" s="32">
        <f t="shared" si="137"/>
        <v>4.5494978588755299E-5</v>
      </c>
      <c r="AV146" s="32">
        <f t="shared" si="138"/>
        <v>1.5707963267948966</v>
      </c>
      <c r="AW146" s="32" t="str">
        <f t="shared" si="113"/>
        <v>1+0.00968627161864748i</v>
      </c>
      <c r="AX146" s="32">
        <f t="shared" si="139"/>
        <v>1.0000469108286223</v>
      </c>
      <c r="AY146" s="32">
        <f t="shared" si="140"/>
        <v>9.6859687012426122E-3</v>
      </c>
      <c r="AZ146" s="32" t="str">
        <f t="shared" si="114"/>
        <v>1+0.184039160754303i</v>
      </c>
      <c r="BA146" s="32">
        <f t="shared" si="141"/>
        <v>1.0167941840368424</v>
      </c>
      <c r="BB146" s="32">
        <f t="shared" si="142"/>
        <v>0.18200256404022508</v>
      </c>
      <c r="BC146" s="60" t="str">
        <f t="shared" si="143"/>
        <v>-0.654243055281838+3.75909654879932i</v>
      </c>
      <c r="BD146" s="51">
        <f t="shared" si="144"/>
        <v>11.631267982291575</v>
      </c>
      <c r="BE146" s="63">
        <f t="shared" si="145"/>
        <v>99.873013652987368</v>
      </c>
      <c r="BF146" s="60" t="str">
        <f t="shared" si="146"/>
        <v>20.5146666360406+78.3192587639948i</v>
      </c>
      <c r="BG146" s="66">
        <f t="shared" si="147"/>
        <v>38.165566517142111</v>
      </c>
      <c r="BH146" s="63">
        <f t="shared" si="148"/>
        <v>75.321909175894305</v>
      </c>
      <c r="BI146" s="60" t="e">
        <f t="shared" si="152"/>
        <v>#NUM!</v>
      </c>
      <c r="BJ146" s="66" t="e">
        <f t="shared" si="149"/>
        <v>#NUM!</v>
      </c>
      <c r="BK146" s="63" t="e">
        <f t="shared" si="153"/>
        <v>#NUM!</v>
      </c>
      <c r="BL146" s="51">
        <f t="shared" si="150"/>
        <v>38.165566517142111</v>
      </c>
      <c r="BM146" s="63">
        <f t="shared" si="151"/>
        <v>75.321909175894305</v>
      </c>
    </row>
    <row r="147" spans="14:65" x14ac:dyDescent="0.3">
      <c r="N147" s="11">
        <v>29</v>
      </c>
      <c r="O147" s="52">
        <f t="shared" si="154"/>
        <v>194.98445997580458</v>
      </c>
      <c r="P147" s="50" t="str">
        <f t="shared" ref="P147:P210" si="155">COMPLEX(Adc,0)</f>
        <v>23.3035714285714</v>
      </c>
      <c r="Q147" s="18" t="str">
        <f t="shared" ref="Q147:Q210" si="156">IMSUM(COMPLEX(1,0),IMDIV(COMPLEX(0,2*PI()*O147),COMPLEX(wp_lf,0)))</f>
        <v>1+0.464671839528327i</v>
      </c>
      <c r="R147" s="18">
        <f t="shared" si="116"/>
        <v>1.1026875887805392</v>
      </c>
      <c r="S147" s="18">
        <f t="shared" si="117"/>
        <v>0.43498782012383147</v>
      </c>
      <c r="T147" s="18" t="str">
        <f t="shared" ref="T147:T210" si="157">IMSUM(COMPLEX(1,0),IMDIV(COMPLEX(0,2*PI()*O147),COMPLEX(wz_esr,0)))</f>
        <v>1+0.00216846858446553i</v>
      </c>
      <c r="U147" s="18">
        <f t="shared" si="118"/>
        <v>1.0000023511252372</v>
      </c>
      <c r="V147" s="18">
        <f t="shared" si="119"/>
        <v>2.1684651855769809E-3</v>
      </c>
      <c r="W147" s="32" t="str">
        <f t="shared" ref="W147:W210" si="158">IMSUB(COMPLEX(1,0),IMDIV(COMPLEX(0,2*PI()*O147),COMPLEX(wz_rhp,0)))</f>
        <v>1-0.00299474631878478i</v>
      </c>
      <c r="X147" s="18">
        <f t="shared" si="120"/>
        <v>1.0000044842427027</v>
      </c>
      <c r="Y147" s="18">
        <f t="shared" si="121"/>
        <v>-2.9947373660333316E-3</v>
      </c>
      <c r="Z147" s="32" t="str">
        <f t="shared" ref="Z147:Z210" si="159">IMSUM(COMPLEX(1,0),IMDIV(COMPLEX(0,2*PI()*O147),COMPLEX(Q*(wsl/2),0)),IMDIV(IMPOWER(COMPLEX(0,2*PI()*O147),2),IMPOWER(COMPLEX(wsl/2,0),2)))</f>
        <v>0.999999847924241+0.00146981128389712i</v>
      </c>
      <c r="AA147" s="18">
        <f t="shared" si="122"/>
        <v>1.000000928096427</v>
      </c>
      <c r="AB147" s="18">
        <f t="shared" si="123"/>
        <v>1.4698104489874538E-3</v>
      </c>
      <c r="AC147" s="68" t="str">
        <f t="shared" si="124"/>
        <v>19.1449979730765-8.94964862054192i</v>
      </c>
      <c r="AD147" s="66">
        <f t="shared" si="125"/>
        <v>26.49945127452137</v>
      </c>
      <c r="AE147" s="63">
        <f t="shared" si="126"/>
        <v>-25.054522076771779</v>
      </c>
      <c r="AF147" s="51" t="e">
        <f t="shared" si="127"/>
        <v>#NUM!</v>
      </c>
      <c r="AG147" s="51" t="str">
        <f t="shared" ref="AG147:AG210" si="160">IMSUM(COMPLEX(1,0),IMDIV(COMPLEX(0,2*PI()*O147),COMPLEX(wp_lf_DCM,0)))</f>
        <v>1-0.65054057533966i</v>
      </c>
      <c r="AH147" s="51">
        <f t="shared" si="128"/>
        <v>1.1929807375491257</v>
      </c>
      <c r="AI147" s="51">
        <f t="shared" si="129"/>
        <v>-0.57675514454075416</v>
      </c>
      <c r="AJ147" s="51" t="str">
        <f t="shared" ref="AJ147:AJ210" si="161">IMSUM(COMPLEX(1,0),IMDIV(COMPLEX(0,2*PI()*O147),COMPLEX(wz1_dcm,0)))</f>
        <v>1+0.00216846858446553i</v>
      </c>
      <c r="AK147" s="51">
        <f t="shared" si="130"/>
        <v>1.0000023511252372</v>
      </c>
      <c r="AL147" s="51">
        <f t="shared" si="131"/>
        <v>2.1684651855769809E-3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-0.000170731707317073</v>
      </c>
      <c r="AT147" s="32" t="str">
        <f t="shared" ref="AT147:AT210" si="164">COMPLEX(0,2*PI()*O147*wp0_ea)</f>
        <v>0.0000465546927738362i</v>
      </c>
      <c r="AU147" s="32">
        <f t="shared" si="137"/>
        <v>4.6554692773836197E-5</v>
      </c>
      <c r="AV147" s="32">
        <f t="shared" si="138"/>
        <v>1.5707963267948966</v>
      </c>
      <c r="AW147" s="32" t="str">
        <f t="shared" ref="AW147:AW210" si="165">IMSUM(COMPLEX(1,0),IMDIV(COMPLEX(0,2*PI()*O147),COMPLEX(wp1_ea,0)))</f>
        <v>1+0.00991189386868987i</v>
      </c>
      <c r="AX147" s="32">
        <f t="shared" si="139"/>
        <v>1.0000491216135656</v>
      </c>
      <c r="AY147" s="32">
        <f t="shared" si="140"/>
        <v>9.9115692877037292E-3</v>
      </c>
      <c r="AZ147" s="32" t="str">
        <f t="shared" ref="AZ147:AZ210" si="166">IMSUM(COMPLEX(1,0),IMDIV(COMPLEX(0,2*PI()*O147),COMPLEX(wz_ea,0)))</f>
        <v>1+0.188325983505108i</v>
      </c>
      <c r="BA147" s="32">
        <f t="shared" si="141"/>
        <v>1.0175788303925972</v>
      </c>
      <c r="BB147" s="32">
        <f t="shared" si="142"/>
        <v>0.186145761699233</v>
      </c>
      <c r="BC147" s="60" t="str">
        <f t="shared" si="143"/>
        <v>-0.65424016264573+3.67382089950758i</v>
      </c>
      <c r="BD147" s="51">
        <f t="shared" si="144"/>
        <v>11.437948979550544</v>
      </c>
      <c r="BE147" s="63">
        <f t="shared" si="145"/>
        <v>100.0974754310771</v>
      </c>
      <c r="BF147" s="60" t="str">
        <f t="shared" si="146"/>
        <v>20.3539795576383+76.1905132436442i</v>
      </c>
      <c r="BG147" s="66">
        <f t="shared" si="147"/>
        <v>37.937400254071918</v>
      </c>
      <c r="BH147" s="63">
        <f t="shared" si="148"/>
        <v>75.042953354305368</v>
      </c>
      <c r="BI147" s="60" t="e">
        <f t="shared" si="152"/>
        <v>#NUM!</v>
      </c>
      <c r="BJ147" s="66" t="e">
        <f t="shared" si="149"/>
        <v>#NUM!</v>
      </c>
      <c r="BK147" s="63" t="e">
        <f t="shared" si="153"/>
        <v>#NUM!</v>
      </c>
      <c r="BL147" s="51">
        <f t="shared" si="150"/>
        <v>37.937400254071918</v>
      </c>
      <c r="BM147" s="63">
        <f t="shared" si="151"/>
        <v>75.042953354305368</v>
      </c>
    </row>
    <row r="148" spans="14:65" x14ac:dyDescent="0.3">
      <c r="N148" s="11">
        <v>30</v>
      </c>
      <c r="O148" s="52">
        <f t="shared" si="154"/>
        <v>199.52623149688802</v>
      </c>
      <c r="P148" s="50" t="str">
        <f t="shared" si="155"/>
        <v>23.3035714285714</v>
      </c>
      <c r="Q148" s="18" t="str">
        <f t="shared" si="156"/>
        <v>1+0.475495437099545i</v>
      </c>
      <c r="R148" s="18">
        <f t="shared" ref="R148:R211" si="167">IMABS(Q148)</f>
        <v>1.1072921523710386</v>
      </c>
      <c r="S148" s="18">
        <f t="shared" ref="S148:S211" si="168">IMARGUMENT(Q148)</f>
        <v>0.44385249100357249</v>
      </c>
      <c r="T148" s="18" t="str">
        <f t="shared" si="157"/>
        <v>1+0.00221897870646454i</v>
      </c>
      <c r="U148" s="18">
        <f t="shared" ref="U148:U211" si="169">IMABS(T148)</f>
        <v>1.0000024619302192</v>
      </c>
      <c r="V148" s="18">
        <f t="shared" ref="V148:V211" si="170">IMARGUMENT(T148)</f>
        <v>2.2189750644903273E-3</v>
      </c>
      <c r="W148" s="32" t="str">
        <f t="shared" si="158"/>
        <v>1-0.00306450292167106i</v>
      </c>
      <c r="X148" s="18">
        <f t="shared" ref="X148:X211" si="171">IMABS(W148)</f>
        <v>1.0000046955780542</v>
      </c>
      <c r="Y148" s="18">
        <f t="shared" ref="Y148:Y211" si="172">IMARGUMENT(W148)</f>
        <v>-3.0644933286274804E-3</v>
      </c>
      <c r="Z148" s="32" t="str">
        <f t="shared" si="159"/>
        <v>0.999999840757132+0.0015040475867871i</v>
      </c>
      <c r="AA148" s="18">
        <f t="shared" ref="AA148:AA211" si="173">IMABS(Z148)</f>
        <v>1.0000009718362441</v>
      </c>
      <c r="AB148" s="18">
        <f t="shared" ref="AB148:AB211" si="174">IMARGUMENT(Z148)</f>
        <v>1.5040466921653201E-3</v>
      </c>
      <c r="AC148" s="68" t="str">
        <f t="shared" ref="AC148:AC211" si="175">(IMDIV(IMPRODUCT(P148,T148,W148),IMPRODUCT(Q148,Z148)))</f>
        <v>18.9851511536117-9.08210628928131i</v>
      </c>
      <c r="AD148" s="66">
        <f t="shared" ref="AD148:AD211" si="176">20*LOG(IMABS(AC148))</f>
        <v>26.463258981640884</v>
      </c>
      <c r="AE148" s="63">
        <f t="shared" ref="AE148:AE211" si="177">(180/PI())*IMARGUMENT(AC148)</f>
        <v>-25.56549461656099</v>
      </c>
      <c r="AF148" s="51" t="e">
        <f t="shared" ref="AF148:AF211" si="178">COMPLEX($B$68,0)</f>
        <v>#NUM!</v>
      </c>
      <c r="AG148" s="51" t="str">
        <f t="shared" si="160"/>
        <v>1-0.665693611939365i</v>
      </c>
      <c r="AH148" s="51">
        <f t="shared" ref="AH148:AH211" si="179">IMABS(AG148)</f>
        <v>1.2013109443340961</v>
      </c>
      <c r="AI148" s="51">
        <f t="shared" ref="AI148:AI211" si="180">IMARGUMENT(AG148)</f>
        <v>-0.58732864770177429</v>
      </c>
      <c r="AJ148" s="51" t="str">
        <f t="shared" si="161"/>
        <v>1+0.00221897870646454i</v>
      </c>
      <c r="AK148" s="51">
        <f t="shared" ref="AK148:AK211" si="181">IMABS(AJ148)</f>
        <v>1.0000024619302192</v>
      </c>
      <c r="AL148" s="51">
        <f t="shared" ref="AL148:AL211" si="182">IMARGUMENT(AJ148)</f>
        <v>2.2189750644903273E-3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-0.000170731707317073</v>
      </c>
      <c r="AT148" s="32" t="str">
        <f t="shared" si="164"/>
        <v>0.0000476390908732501i</v>
      </c>
      <c r="AU148" s="32">
        <f t="shared" ref="AU148:AU211" si="188">IMABS(AT148)</f>
        <v>4.7639090873250103E-5</v>
      </c>
      <c r="AV148" s="32">
        <f t="shared" ref="AV148:AV211" si="189">IMARGUMENT(AT148)</f>
        <v>1.5707963267948966</v>
      </c>
      <c r="AW148" s="32" t="str">
        <f t="shared" si="165"/>
        <v>1+0.0101427715360609i</v>
      </c>
      <c r="AX148" s="32">
        <f t="shared" ref="AX148:AX211" si="190">IMABS(AW148)</f>
        <v>1.0000514365843554</v>
      </c>
      <c r="AY148" s="32">
        <f t="shared" ref="AY148:AY211" si="191">IMARGUMENT(AW148)</f>
        <v>1.0142423742234266E-2</v>
      </c>
      <c r="AZ148" s="32" t="str">
        <f t="shared" si="166"/>
        <v>1+0.192712659185158i</v>
      </c>
      <c r="BA148" s="32">
        <f t="shared" ref="BA148:BA211" si="192">IMABS(AZ148)</f>
        <v>1.0183998080372045</v>
      </c>
      <c r="BB148" s="32">
        <f t="shared" ref="BB148:BB211" si="193">IMARGUMENT(AZ148)</f>
        <v>0.19037878297915589</v>
      </c>
      <c r="BC148" s="60" t="str">
        <f t="shared" ref="BC148:BC211" si="194">IMPRODUCT(AS148,IMDIV(AZ148,IMPRODUCT(AT148,AW148)))</f>
        <v>-0.654237133711302+3.59049315598258i</v>
      </c>
      <c r="BD148" s="51">
        <f t="shared" ref="BD148:BD211" si="195">20*LOG(IMABS(BC148))</f>
        <v>11.244933781056094</v>
      </c>
      <c r="BE148" s="63">
        <f t="shared" ref="BE148:BE211" si="196">(180/PI())*IMARGUMENT(BC148)</f>
        <v>100.32678269907937</v>
      </c>
      <c r="BF148" s="60" t="str">
        <f t="shared" ref="BF148:BF211" si="197">IMPRODUCT(AC148,BC148)</f>
        <v>20.1884495997562+74.1079064690984i</v>
      </c>
      <c r="BG148" s="66">
        <f t="shared" ref="BG148:BG211" si="198">20*LOG(IMABS(BF148))</f>
        <v>37.708192762696982</v>
      </c>
      <c r="BH148" s="63">
        <f t="shared" ref="BH148:BH211" si="199">(180/PI())*IMARGUMENT(BF148)</f>
        <v>74.761288082518362</v>
      </c>
      <c r="BI148" s="60" t="e">
        <f t="shared" si="152"/>
        <v>#NUM!</v>
      </c>
      <c r="BJ148" s="66" t="e">
        <f t="shared" ref="BJ148:BJ211" si="200">20*LOG(IMABS(BI148))</f>
        <v>#NUM!</v>
      </c>
      <c r="BK148" s="63" t="e">
        <f t="shared" si="153"/>
        <v>#NUM!</v>
      </c>
      <c r="BL148" s="51">
        <f t="shared" ref="BL148:BL211" si="201">IF($B$31=0,BJ148,BG148)</f>
        <v>37.708192762696982</v>
      </c>
      <c r="BM148" s="63">
        <f t="shared" ref="BM148:BM211" si="202">IF($B$31=0,BK148,BH148)</f>
        <v>74.761288082518362</v>
      </c>
    </row>
    <row r="149" spans="14:65" x14ac:dyDescent="0.3">
      <c r="N149" s="11">
        <v>31</v>
      </c>
      <c r="O149" s="52">
        <f t="shared" si="154"/>
        <v>204.17379446695315</v>
      </c>
      <c r="P149" s="50" t="str">
        <f t="shared" si="155"/>
        <v>23.3035714285714</v>
      </c>
      <c r="Q149" s="18" t="str">
        <f t="shared" si="156"/>
        <v>1+0.486571148645437i</v>
      </c>
      <c r="R149" s="18">
        <f t="shared" si="167"/>
        <v>1.112093288665182</v>
      </c>
      <c r="S149" s="18">
        <f t="shared" si="168"/>
        <v>0.45284692937548116</v>
      </c>
      <c r="T149" s="18" t="str">
        <f t="shared" si="157"/>
        <v>1+0.00227066536034537i</v>
      </c>
      <c r="U149" s="18">
        <f t="shared" si="169"/>
        <v>1.0000025779572663</v>
      </c>
      <c r="V149" s="18">
        <f t="shared" si="170"/>
        <v>2.2706614579002357E-3</v>
      </c>
      <c r="W149" s="32" t="str">
        <f t="shared" si="158"/>
        <v>1-0.00313588436456988i</v>
      </c>
      <c r="X149" s="18">
        <f t="shared" si="171"/>
        <v>1.0000049168732861</v>
      </c>
      <c r="Y149" s="18">
        <f t="shared" si="172"/>
        <v>-3.1358740854412186E-3</v>
      </c>
      <c r="Z149" s="32" t="str">
        <f t="shared" si="159"/>
        <v>0.999999833252247+0.00153908135561602i</v>
      </c>
      <c r="AA149" s="18">
        <f t="shared" si="173"/>
        <v>1.0000010176374527</v>
      </c>
      <c r="AB149" s="18">
        <f t="shared" si="174"/>
        <v>1.5390803970115642E-3</v>
      </c>
      <c r="AC149" s="68" t="str">
        <f t="shared" si="175"/>
        <v>18.820590299381-9.21358516331595i</v>
      </c>
      <c r="AD149" s="66">
        <f t="shared" si="176"/>
        <v>26.425681556460976</v>
      </c>
      <c r="AE149" s="63">
        <f t="shared" si="177"/>
        <v>-26.08397366169353</v>
      </c>
      <c r="AF149" s="51" t="e">
        <f t="shared" si="178"/>
        <v>#NUM!</v>
      </c>
      <c r="AG149" s="51" t="str">
        <f t="shared" si="160"/>
        <v>1-0.681199608103613i</v>
      </c>
      <c r="AH149" s="51">
        <f t="shared" si="179"/>
        <v>1.2099722749222463</v>
      </c>
      <c r="AI149" s="51">
        <f t="shared" si="180"/>
        <v>-0.5979965015425327</v>
      </c>
      <c r="AJ149" s="51" t="str">
        <f t="shared" si="161"/>
        <v>1+0.00227066536034537i</v>
      </c>
      <c r="AK149" s="51">
        <f t="shared" si="181"/>
        <v>1.0000025779572663</v>
      </c>
      <c r="AL149" s="51">
        <f t="shared" si="182"/>
        <v>2.2706614579002357E-3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-0.000170731707317073</v>
      </c>
      <c r="AT149" s="32" t="str">
        <f t="shared" si="164"/>
        <v>0.0000487487478492229i</v>
      </c>
      <c r="AU149" s="32">
        <f t="shared" si="188"/>
        <v>4.8748747849222898E-5</v>
      </c>
      <c r="AV149" s="32">
        <f t="shared" si="189"/>
        <v>1.5707963267948966</v>
      </c>
      <c r="AW149" s="32" t="str">
        <f t="shared" si="165"/>
        <v>1+0.0103790270351558i</v>
      </c>
      <c r="AX149" s="32">
        <f t="shared" si="190"/>
        <v>1.0000538606506135</v>
      </c>
      <c r="AY149" s="32">
        <f t="shared" si="191"/>
        <v>1.0378654368440324E-2</v>
      </c>
      <c r="AZ149" s="32" t="str">
        <f t="shared" si="166"/>
        <v>1+0.197201513667961i</v>
      </c>
      <c r="BA149" s="32">
        <f t="shared" si="192"/>
        <v>1.0192587684160166</v>
      </c>
      <c r="BB149" s="32">
        <f t="shared" si="193"/>
        <v>0.19470326519562031</v>
      </c>
      <c r="BC149" s="60" t="str">
        <f t="shared" si="194"/>
        <v>-0.654233962057648+3.50906913655848i</v>
      </c>
      <c r="BD149" s="51">
        <f t="shared" si="195"/>
        <v>11.052235676560231</v>
      </c>
      <c r="BE149" s="63">
        <f t="shared" si="196"/>
        <v>100.5610222607888</v>
      </c>
      <c r="BF149" s="60" t="str">
        <f t="shared" si="197"/>
        <v>20.0180379738174+72.0705928775215i</v>
      </c>
      <c r="BG149" s="66">
        <f t="shared" si="198"/>
        <v>37.477917233021202</v>
      </c>
      <c r="BH149" s="63">
        <f t="shared" si="199"/>
        <v>74.477048599095241</v>
      </c>
      <c r="BI149" s="60" t="e">
        <f t="shared" si="152"/>
        <v>#NUM!</v>
      </c>
      <c r="BJ149" s="66" t="e">
        <f t="shared" si="200"/>
        <v>#NUM!</v>
      </c>
      <c r="BK149" s="63" t="e">
        <f t="shared" si="153"/>
        <v>#NUM!</v>
      </c>
      <c r="BL149" s="51">
        <f t="shared" si="201"/>
        <v>37.477917233021202</v>
      </c>
      <c r="BM149" s="63">
        <f t="shared" si="202"/>
        <v>74.477048599095241</v>
      </c>
    </row>
    <row r="150" spans="14:65" x14ac:dyDescent="0.3">
      <c r="N150" s="11">
        <v>32</v>
      </c>
      <c r="O150" s="52">
        <f t="shared" si="154"/>
        <v>208.92961308540396</v>
      </c>
      <c r="P150" s="50" t="str">
        <f t="shared" si="155"/>
        <v>23.3035714285714</v>
      </c>
      <c r="Q150" s="18" t="str">
        <f t="shared" si="156"/>
        <v>1+0.497904846654876i</v>
      </c>
      <c r="R150" s="18">
        <f t="shared" si="167"/>
        <v>1.1170985795006705</v>
      </c>
      <c r="S150" s="18">
        <f t="shared" si="168"/>
        <v>0.46197008202646361</v>
      </c>
      <c r="T150" s="18" t="str">
        <f t="shared" si="157"/>
        <v>1+0.00232355595105609i</v>
      </c>
      <c r="U150" s="18">
        <f t="shared" si="169"/>
        <v>1.0000026994524853</v>
      </c>
      <c r="V150" s="18">
        <f t="shared" si="170"/>
        <v>2.3235517695114E-3</v>
      </c>
      <c r="W150" s="32" t="str">
        <f t="shared" si="158"/>
        <v>1-0.00320892849486716i</v>
      </c>
      <c r="X150" s="18">
        <f t="shared" si="171"/>
        <v>1.0000051485977886</v>
      </c>
      <c r="Y150" s="18">
        <f t="shared" si="172"/>
        <v>-3.2089174805854208E-3</v>
      </c>
      <c r="Z150" s="32" t="str">
        <f t="shared" si="159"/>
        <v>0.999999825393667+0.00157493116575184i</v>
      </c>
      <c r="AA150" s="18">
        <f t="shared" si="173"/>
        <v>1.0000010655972029</v>
      </c>
      <c r="AB150" s="18">
        <f t="shared" si="174"/>
        <v>1.5749301385887188E-3</v>
      </c>
      <c r="AC150" s="68" t="str">
        <f t="shared" si="175"/>
        <v>18.6512860032575-9.34389970845855i</v>
      </c>
      <c r="AD150" s="66">
        <f t="shared" si="176"/>
        <v>26.386678613556708</v>
      </c>
      <c r="AE150" s="63">
        <f t="shared" si="177"/>
        <v>-26.609900529968069</v>
      </c>
      <c r="AF150" s="51" t="e">
        <f t="shared" si="178"/>
        <v>#NUM!</v>
      </c>
      <c r="AG150" s="51" t="str">
        <f t="shared" si="160"/>
        <v>1-0.697066785316828i</v>
      </c>
      <c r="AH150" s="51">
        <f t="shared" si="179"/>
        <v>1.2189758419230206</v>
      </c>
      <c r="AI150" s="51">
        <f t="shared" si="180"/>
        <v>-0.60875464996942175</v>
      </c>
      <c r="AJ150" s="51" t="str">
        <f t="shared" si="161"/>
        <v>1+0.00232355595105609i</v>
      </c>
      <c r="AK150" s="51">
        <f t="shared" si="181"/>
        <v>1.0000026994524853</v>
      </c>
      <c r="AL150" s="51">
        <f t="shared" si="182"/>
        <v>2.3235517695114E-3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-0.000170731707317073</v>
      </c>
      <c r="AT150" s="32" t="str">
        <f t="shared" si="164"/>
        <v>0.0000498842520565712i</v>
      </c>
      <c r="AU150" s="32">
        <f t="shared" si="188"/>
        <v>4.9884252056571198E-5</v>
      </c>
      <c r="AV150" s="32">
        <f t="shared" si="189"/>
        <v>1.5707963267948966</v>
      </c>
      <c r="AW150" s="32" t="str">
        <f t="shared" si="165"/>
        <v>1+0.0106207856317675i</v>
      </c>
      <c r="AX150" s="32">
        <f t="shared" si="190"/>
        <v>1.0000563989532971</v>
      </c>
      <c r="AY150" s="32">
        <f t="shared" si="191"/>
        <v>1.0620386313403717E-2</v>
      </c>
      <c r="AZ150" s="32" t="str">
        <f t="shared" si="166"/>
        <v>1+0.201794927003583i</v>
      </c>
      <c r="BA150" s="32">
        <f t="shared" si="192"/>
        <v>1.0201574351855607</v>
      </c>
      <c r="BB150" s="32">
        <f t="shared" si="193"/>
        <v>0.19912085395299359</v>
      </c>
      <c r="BC150" s="60" t="str">
        <f t="shared" si="194"/>
        <v>-0.654230640961531+3.42950566893533i</v>
      </c>
      <c r="BD150" s="51">
        <f t="shared" si="195"/>
        <v>10.859868488521611</v>
      </c>
      <c r="BE150" s="63">
        <f t="shared" si="196"/>
        <v>100.80028123199084</v>
      </c>
      <c r="BF150" s="60" t="str">
        <f t="shared" si="197"/>
        <v>19.8427142234538+70.0777565764509i</v>
      </c>
      <c r="BG150" s="66">
        <f t="shared" si="198"/>
        <v>37.246547102078324</v>
      </c>
      <c r="BH150" s="63">
        <f t="shared" si="199"/>
        <v>74.190380702022765</v>
      </c>
      <c r="BI150" s="60" t="e">
        <f t="shared" si="152"/>
        <v>#NUM!</v>
      </c>
      <c r="BJ150" s="66" t="e">
        <f t="shared" si="200"/>
        <v>#NUM!</v>
      </c>
      <c r="BK150" s="63" t="e">
        <f t="shared" si="153"/>
        <v>#NUM!</v>
      </c>
      <c r="BL150" s="51">
        <f t="shared" si="201"/>
        <v>37.246547102078324</v>
      </c>
      <c r="BM150" s="63">
        <f t="shared" si="202"/>
        <v>74.190380702022765</v>
      </c>
    </row>
    <row r="151" spans="14:65" x14ac:dyDescent="0.3">
      <c r="N151" s="11">
        <v>33</v>
      </c>
      <c r="O151" s="52">
        <f t="shared" si="154"/>
        <v>213.79620895022339</v>
      </c>
      <c r="P151" s="50" t="str">
        <f t="shared" si="155"/>
        <v>23.3035714285714</v>
      </c>
      <c r="Q151" s="18" t="str">
        <f t="shared" si="156"/>
        <v>1+0.509502540404556i</v>
      </c>
      <c r="R151" s="18">
        <f t="shared" si="167"/>
        <v>1.1223158373108242</v>
      </c>
      <c r="S151" s="18">
        <f t="shared" si="168"/>
        <v>0.47122071051240688</v>
      </c>
      <c r="T151" s="18" t="str">
        <f t="shared" si="157"/>
        <v>1+0.00237767852188793i</v>
      </c>
      <c r="U151" s="18">
        <f t="shared" si="169"/>
        <v>1.0000028266735816</v>
      </c>
      <c r="V151" s="18">
        <f t="shared" si="170"/>
        <v>2.377674041282753E-3</v>
      </c>
      <c r="W151" s="32" t="str">
        <f t="shared" si="158"/>
        <v>1-0.00328367404152759i</v>
      </c>
      <c r="X151" s="18">
        <f t="shared" si="171"/>
        <v>1.0000053912430726</v>
      </c>
      <c r="Y151" s="18">
        <f t="shared" si="172"/>
        <v>-3.2836622395155095E-3</v>
      </c>
      <c r="Z151" s="32" t="str">
        <f t="shared" si="159"/>
        <v>0.999999817164724+0.00161161602523842i</v>
      </c>
      <c r="AA151" s="18">
        <f t="shared" si="173"/>
        <v>1.0000011158172246</v>
      </c>
      <c r="AB151" s="18">
        <f t="shared" si="174"/>
        <v>1.6116149246133723E-3</v>
      </c>
      <c r="AC151" s="68" t="str">
        <f t="shared" si="175"/>
        <v>18.4772174835546-9.47285874637733i</v>
      </c>
      <c r="AD151" s="66">
        <f t="shared" si="176"/>
        <v>26.346209553032466</v>
      </c>
      <c r="AE151" s="63">
        <f t="shared" si="177"/>
        <v>-27.143205964944887</v>
      </c>
      <c r="AF151" s="51" t="e">
        <f t="shared" si="178"/>
        <v>#NUM!</v>
      </c>
      <c r="AG151" s="51" t="str">
        <f t="shared" si="160"/>
        <v>1-0.713303556566381i</v>
      </c>
      <c r="AH151" s="51">
        <f t="shared" si="179"/>
        <v>1.2283330020032224</v>
      </c>
      <c r="AI151" s="51">
        <f t="shared" si="180"/>
        <v>-0.61959883614656963</v>
      </c>
      <c r="AJ151" s="51" t="str">
        <f t="shared" si="161"/>
        <v>1+0.00237767852188793i</v>
      </c>
      <c r="AK151" s="51">
        <f t="shared" si="181"/>
        <v>1.0000028266735816</v>
      </c>
      <c r="AL151" s="51">
        <f t="shared" si="182"/>
        <v>2.377674041282753E-3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-0.000170731707317073</v>
      </c>
      <c r="AT151" s="32" t="str">
        <f t="shared" si="164"/>
        <v>0.0000510462055546561i</v>
      </c>
      <c r="AU151" s="32">
        <f t="shared" si="188"/>
        <v>5.10462055546561E-5</v>
      </c>
      <c r="AV151" s="32">
        <f t="shared" si="189"/>
        <v>1.5707963267948966</v>
      </c>
      <c r="AW151" s="32" t="str">
        <f t="shared" si="165"/>
        <v>1+0.0108681755095038i</v>
      </c>
      <c r="AX151" s="32">
        <f t="shared" si="190"/>
        <v>1.0000590568755954</v>
      </c>
      <c r="AY151" s="32">
        <f t="shared" si="191"/>
        <v>1.0867747633532734E-2</v>
      </c>
      <c r="AZ151" s="32" t="str">
        <f t="shared" si="166"/>
        <v>1+0.206495334680572i</v>
      </c>
      <c r="BA151" s="32">
        <f t="shared" si="192"/>
        <v>1.0210976071095463</v>
      </c>
      <c r="BB151" s="32">
        <f t="shared" si="193"/>
        <v>0.20363320150928294</v>
      </c>
      <c r="BC151" s="60" t="str">
        <f t="shared" si="194"/>
        <v>-0.654227163383108+3.35176056728752i</v>
      </c>
      <c r="BD151" s="51">
        <f t="shared" si="195"/>
        <v>10.667846588960856</v>
      </c>
      <c r="BE151" s="63">
        <f t="shared" si="196"/>
        <v>101.04464694300424</v>
      </c>
      <c r="BF151" s="60" t="str">
        <f t="shared" si="197"/>
        <v>19.6624568241135+68.1286104613452i</v>
      </c>
      <c r="BG151" s="66">
        <f t="shared" si="198"/>
        <v>37.014056141993322</v>
      </c>
      <c r="BH151" s="63">
        <f t="shared" si="199"/>
        <v>73.901440978059384</v>
      </c>
      <c r="BI151" s="60" t="e">
        <f t="shared" si="152"/>
        <v>#NUM!</v>
      </c>
      <c r="BJ151" s="66" t="e">
        <f t="shared" si="200"/>
        <v>#NUM!</v>
      </c>
      <c r="BK151" s="63" t="e">
        <f t="shared" si="153"/>
        <v>#NUM!</v>
      </c>
      <c r="BL151" s="51">
        <f t="shared" si="201"/>
        <v>37.014056141993322</v>
      </c>
      <c r="BM151" s="63">
        <f t="shared" si="202"/>
        <v>73.901440978059384</v>
      </c>
    </row>
    <row r="152" spans="14:65" x14ac:dyDescent="0.3">
      <c r="N152" s="11">
        <v>34</v>
      </c>
      <c r="O152" s="52">
        <f t="shared" si="154"/>
        <v>218.77616239495524</v>
      </c>
      <c r="P152" s="50" t="str">
        <f t="shared" si="155"/>
        <v>23.3035714285714</v>
      </c>
      <c r="Q152" s="18" t="str">
        <f t="shared" si="156"/>
        <v>1+0.521370379145225i</v>
      </c>
      <c r="R152" s="18">
        <f t="shared" si="167"/>
        <v>1.1277531078432175</v>
      </c>
      <c r="S152" s="18">
        <f t="shared" si="168"/>
        <v>0.48059738579590461</v>
      </c>
      <c r="T152" s="18" t="str">
        <f t="shared" si="157"/>
        <v>1+0.00243306176934438i</v>
      </c>
      <c r="U152" s="18">
        <f t="shared" si="169"/>
        <v>1.0000029598904063</v>
      </c>
      <c r="V152" s="18">
        <f t="shared" si="170"/>
        <v>2.4330569682902018E-3</v>
      </c>
      <c r="W152" s="32" t="str">
        <f t="shared" si="158"/>
        <v>1-0.00336016063562941i</v>
      </c>
      <c r="X152" s="18">
        <f t="shared" si="171"/>
        <v>1.0000056453238138</v>
      </c>
      <c r="Y152" s="18">
        <f t="shared" si="172"/>
        <v>-3.3601479895494805E-3</v>
      </c>
      <c r="Z152" s="32" t="str">
        <f t="shared" si="159"/>
        <v>0.999999808547963+0.00164915538487384i</v>
      </c>
      <c r="AA152" s="18">
        <f t="shared" si="173"/>
        <v>1.0000011684040404</v>
      </c>
      <c r="AB152" s="18">
        <f t="shared" si="174"/>
        <v>1.6491542055329272E-3</v>
      </c>
      <c r="AC152" s="68" t="str">
        <f t="shared" si="175"/>
        <v>18.2983731557629-9.60026584468533i</v>
      </c>
      <c r="AD152" s="66">
        <f t="shared" si="176"/>
        <v>26.304233636646067</v>
      </c>
      <c r="AE152" s="63">
        <f t="shared" si="177"/>
        <v>-27.683809829611903</v>
      </c>
      <c r="AF152" s="51" t="e">
        <f t="shared" si="178"/>
        <v>#NUM!</v>
      </c>
      <c r="AG152" s="51" t="str">
        <f t="shared" si="160"/>
        <v>1-0.729918530803316i</v>
      </c>
      <c r="AH152" s="51">
        <f t="shared" si="179"/>
        <v>1.2380553548246829</v>
      </c>
      <c r="AI152" s="51">
        <f t="shared" si="180"/>
        <v>-0.63052460804830834</v>
      </c>
      <c r="AJ152" s="51" t="str">
        <f t="shared" si="161"/>
        <v>1+0.00243306176934438i</v>
      </c>
      <c r="AK152" s="51">
        <f t="shared" si="181"/>
        <v>1.0000029598904063</v>
      </c>
      <c r="AL152" s="51">
        <f t="shared" si="182"/>
        <v>2.4330569682902018E-3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-0.000170731707317073</v>
      </c>
      <c r="AT152" s="32" t="str">
        <f t="shared" si="164"/>
        <v>0.0000522352244266025i</v>
      </c>
      <c r="AU152" s="32">
        <f t="shared" si="188"/>
        <v>5.2235224426602503E-5</v>
      </c>
      <c r="AV152" s="32">
        <f t="shared" si="189"/>
        <v>1.5707963267948966</v>
      </c>
      <c r="AW152" s="32" t="str">
        <f t="shared" si="165"/>
        <v>1+0.0111213278377525i</v>
      </c>
      <c r="AX152" s="32">
        <f t="shared" si="190"/>
        <v>1.0000618400543413</v>
      </c>
      <c r="AY152" s="32">
        <f t="shared" si="191"/>
        <v>1.1120869361920421E-2</v>
      </c>
      <c r="AZ152" s="32" t="str">
        <f t="shared" si="166"/>
        <v>1+0.211305228917299i</v>
      </c>
      <c r="BA152" s="32">
        <f t="shared" si="192"/>
        <v>1.0220811610472977</v>
      </c>
      <c r="BB152" s="32">
        <f t="shared" si="193"/>
        <v>0.20824196500612285</v>
      </c>
      <c r="BC152" s="60" t="str">
        <f t="shared" si="194"/>
        <v>-0.654223521951091+3.27579260989535i</v>
      </c>
      <c r="BD152" s="51">
        <f t="shared" si="195"/>
        <v>10.476184916422309</v>
      </c>
      <c r="BE152" s="63">
        <f t="shared" si="196"/>
        <v>101.29420683340742</v>
      </c>
      <c r="BF152" s="60" t="str">
        <f t="shared" si="197"/>
        <v>19.4772537751124+66.2223952893324i</v>
      </c>
      <c r="BG152" s="66">
        <f t="shared" si="198"/>
        <v>36.78041855306838</v>
      </c>
      <c r="BH152" s="63">
        <f t="shared" si="199"/>
        <v>73.610397003795555</v>
      </c>
      <c r="BI152" s="60" t="e">
        <f t="shared" si="152"/>
        <v>#NUM!</v>
      </c>
      <c r="BJ152" s="66" t="e">
        <f t="shared" si="200"/>
        <v>#NUM!</v>
      </c>
      <c r="BK152" s="63" t="e">
        <f t="shared" si="153"/>
        <v>#NUM!</v>
      </c>
      <c r="BL152" s="51">
        <f t="shared" si="201"/>
        <v>36.78041855306838</v>
      </c>
      <c r="BM152" s="63">
        <f t="shared" si="202"/>
        <v>73.610397003795555</v>
      </c>
    </row>
    <row r="153" spans="14:65" x14ac:dyDescent="0.3">
      <c r="N153" s="11">
        <v>35</v>
      </c>
      <c r="O153" s="52">
        <f t="shared" si="154"/>
        <v>223.87211385683412</v>
      </c>
      <c r="P153" s="50" t="str">
        <f t="shared" si="155"/>
        <v>23.3035714285714</v>
      </c>
      <c r="Q153" s="18" t="str">
        <f t="shared" si="156"/>
        <v>1+0.53351465536207i</v>
      </c>
      <c r="R153" s="18">
        <f t="shared" si="167"/>
        <v>1.1334186726387157</v>
      </c>
      <c r="S153" s="18">
        <f t="shared" si="168"/>
        <v>0.4900984832945901</v>
      </c>
      <c r="T153" s="18" t="str">
        <f t="shared" si="157"/>
        <v>1+0.00248973505835633i</v>
      </c>
      <c r="U153" s="18">
        <f t="shared" si="169"/>
        <v>1.0000030993855273</v>
      </c>
      <c r="V153" s="18">
        <f t="shared" si="170"/>
        <v>2.4897299139349533E-3</v>
      </c>
      <c r="W153" s="32" t="str">
        <f t="shared" si="158"/>
        <v>1-0.00343842883137722i</v>
      </c>
      <c r="X153" s="18">
        <f t="shared" si="171"/>
        <v>1.0000059113789421</v>
      </c>
      <c r="Y153" s="18">
        <f t="shared" si="172"/>
        <v>-3.4384152808627664E-3</v>
      </c>
      <c r="Z153" s="32" t="str">
        <f t="shared" si="159"/>
        <v>0.999999799525107+0.00168756914852347i</v>
      </c>
      <c r="AA153" s="18">
        <f t="shared" si="173"/>
        <v>1.0000012234691942</v>
      </c>
      <c r="AB153" s="18">
        <f t="shared" si="174"/>
        <v>1.6875678848369965E-3</v>
      </c>
      <c r="AC153" s="68" t="str">
        <f t="shared" si="175"/>
        <v>18.1147511919527-9.72591976234677i</v>
      </c>
      <c r="AD153" s="66">
        <f t="shared" si="176"/>
        <v>26.26071006876753</v>
      </c>
      <c r="AE153" s="63">
        <f t="shared" si="177"/>
        <v>-28.231620823596703</v>
      </c>
      <c r="AF153" s="51" t="e">
        <f t="shared" si="178"/>
        <v>#NUM!</v>
      </c>
      <c r="AG153" s="51" t="str">
        <f t="shared" si="160"/>
        <v>1-0.746920517506899i</v>
      </c>
      <c r="AH153" s="51">
        <f t="shared" si="179"/>
        <v>1.2481547417979768</v>
      </c>
      <c r="AI153" s="51">
        <f t="shared" si="180"/>
        <v>-0.64152732500542786</v>
      </c>
      <c r="AJ153" s="51" t="str">
        <f t="shared" si="161"/>
        <v>1+0.00248973505835633i</v>
      </c>
      <c r="AK153" s="51">
        <f t="shared" si="181"/>
        <v>1.0000030993855273</v>
      </c>
      <c r="AL153" s="51">
        <f t="shared" si="182"/>
        <v>2.4897299139349533E-3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-0.000170731707317073</v>
      </c>
      <c r="AT153" s="32" t="str">
        <f t="shared" si="164"/>
        <v>0.0000534519391059548i</v>
      </c>
      <c r="AU153" s="32">
        <f t="shared" si="188"/>
        <v>5.3451939105954798E-5</v>
      </c>
      <c r="AV153" s="32">
        <f t="shared" si="189"/>
        <v>1.5707963267948966</v>
      </c>
      <c r="AW153" s="32" t="str">
        <f t="shared" si="165"/>
        <v>1+0.0113803768412291i</v>
      </c>
      <c r="AX153" s="32">
        <f t="shared" si="190"/>
        <v>1.0000647543919585</v>
      </c>
      <c r="AY153" s="32">
        <f t="shared" si="191"/>
        <v>1.1379885577242024E-2</v>
      </c>
      <c r="AZ153" s="32" t="str">
        <f t="shared" si="166"/>
        <v>1+0.216227159983353i</v>
      </c>
      <c r="BA153" s="32">
        <f t="shared" si="192"/>
        <v>1.0231100550353645</v>
      </c>
      <c r="BB153" s="32">
        <f t="shared" si="193"/>
        <v>0.21294880455730528</v>
      </c>
      <c r="BC153" s="60" t="str">
        <f t="shared" si="194"/>
        <v>-0.654219708947117+3.20156151728747i</v>
      </c>
      <c r="BD153" s="51">
        <f t="shared" si="195"/>
        <v>10.284898992994126</v>
      </c>
      <c r="BE153" s="63">
        <f t="shared" si="196"/>
        <v>101.54904833857208</v>
      </c>
      <c r="BF153" s="60" t="str">
        <f t="shared" si="197"/>
        <v>19.2871031789064+64.3583787075586i</v>
      </c>
      <c r="BG153" s="66">
        <f t="shared" si="198"/>
        <v>36.54560906176166</v>
      </c>
      <c r="BH153" s="63">
        <f t="shared" si="199"/>
        <v>73.317427514975364</v>
      </c>
      <c r="BI153" s="60" t="e">
        <f t="shared" si="152"/>
        <v>#NUM!</v>
      </c>
      <c r="BJ153" s="66" t="e">
        <f t="shared" si="200"/>
        <v>#NUM!</v>
      </c>
      <c r="BK153" s="63" t="e">
        <f t="shared" si="153"/>
        <v>#NUM!</v>
      </c>
      <c r="BL153" s="51">
        <f t="shared" si="201"/>
        <v>36.54560906176166</v>
      </c>
      <c r="BM153" s="63">
        <f t="shared" si="202"/>
        <v>73.317427514975364</v>
      </c>
    </row>
    <row r="154" spans="14:65" x14ac:dyDescent="0.3">
      <c r="N154" s="11">
        <v>36</v>
      </c>
      <c r="O154" s="52">
        <f t="shared" si="154"/>
        <v>229.08676527677744</v>
      </c>
      <c r="P154" s="50" t="str">
        <f t="shared" si="155"/>
        <v>23.3035714285714</v>
      </c>
      <c r="Q154" s="18" t="str">
        <f t="shared" si="156"/>
        <v>1+0.545941808111087i</v>
      </c>
      <c r="R154" s="18">
        <f t="shared" si="167"/>
        <v>1.1393210512597416</v>
      </c>
      <c r="S154" s="18">
        <f t="shared" si="168"/>
        <v>0.499722178394988</v>
      </c>
      <c r="T154" s="18" t="str">
        <f t="shared" si="157"/>
        <v>1+0.00254772843785174i</v>
      </c>
      <c r="U154" s="18">
        <f t="shared" si="169"/>
        <v>1.00000324545483</v>
      </c>
      <c r="V154" s="18">
        <f t="shared" si="170"/>
        <v>2.5477229255058869E-3</v>
      </c>
      <c r="W154" s="32" t="str">
        <f t="shared" si="158"/>
        <v>1-0.00351852012760441i</v>
      </c>
      <c r="X154" s="18">
        <f t="shared" si="171"/>
        <v>1.0000061899727863</v>
      </c>
      <c r="Y154" s="18">
        <f t="shared" si="172"/>
        <v>-3.5185056079714313E-3</v>
      </c>
      <c r="Z154" s="32" t="str">
        <f t="shared" si="159"/>
        <v>0.999999790077016+0.00172687768367326i</v>
      </c>
      <c r="AA154" s="18">
        <f t="shared" si="173"/>
        <v>1.0000012811294847</v>
      </c>
      <c r="AB154" s="18">
        <f t="shared" si="174"/>
        <v>1.7268763296089014E-3</v>
      </c>
      <c r="AC154" s="68" t="str">
        <f t="shared" si="175"/>
        <v>17.9263600624766-9.84961495120867i</v>
      </c>
      <c r="AD154" s="66">
        <f t="shared" si="176"/>
        <v>26.215598082043876</v>
      </c>
      <c r="AE154" s="63">
        <f t="shared" si="177"/>
        <v>-28.786536227073739</v>
      </c>
      <c r="AF154" s="51" t="e">
        <f t="shared" si="178"/>
        <v>#NUM!</v>
      </c>
      <c r="AG154" s="51" t="str">
        <f t="shared" si="160"/>
        <v>1-0.764318531355524i</v>
      </c>
      <c r="AH154" s="51">
        <f t="shared" si="179"/>
        <v>1.2586432446779607</v>
      </c>
      <c r="AI154" s="51">
        <f t="shared" si="180"/>
        <v>-0.65260216524178227</v>
      </c>
      <c r="AJ154" s="51" t="str">
        <f t="shared" si="161"/>
        <v>1+0.00254772843785174i</v>
      </c>
      <c r="AK154" s="51">
        <f t="shared" si="181"/>
        <v>1.00000324545483</v>
      </c>
      <c r="AL154" s="51">
        <f t="shared" si="182"/>
        <v>2.5477229255058869E-3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-0.000170731707317073</v>
      </c>
      <c r="AT154" s="32" t="str">
        <f t="shared" si="164"/>
        <v>0.0000546969947109412i</v>
      </c>
      <c r="AU154" s="32">
        <f t="shared" si="188"/>
        <v>5.4696994710941199E-5</v>
      </c>
      <c r="AV154" s="32">
        <f t="shared" si="189"/>
        <v>1.5707963267948966</v>
      </c>
      <c r="AW154" s="32" t="str">
        <f t="shared" si="165"/>
        <v>1+0.0116454598711439i</v>
      </c>
      <c r="AX154" s="32">
        <f t="shared" si="190"/>
        <v>1.0000678060689736</v>
      </c>
      <c r="AY154" s="32">
        <f t="shared" si="191"/>
        <v>1.1644933474225374E-2</v>
      </c>
      <c r="AZ154" s="32" t="str">
        <f t="shared" si="166"/>
        <v>1+0.221263737551734i</v>
      </c>
      <c r="BA154" s="32">
        <f t="shared" si="192"/>
        <v>1.0241863314628654</v>
      </c>
      <c r="BB154" s="32">
        <f t="shared" si="193"/>
        <v>0.21775538118935056</v>
      </c>
      <c r="BC154" s="60" t="str">
        <f t="shared" si="194"/>
        <v>-0.654215716289436+3.12902793088309i</v>
      </c>
      <c r="BD154" s="51">
        <f t="shared" si="195"/>
        <v>10.094004941335577</v>
      </c>
      <c r="BE154" s="63">
        <f t="shared" si="196"/>
        <v>101.80925876762846</v>
      </c>
      <c r="BF154" s="60" t="str">
        <f t="shared" si="197"/>
        <v>19.0920138020401+62.5358542350365i</v>
      </c>
      <c r="BG154" s="66">
        <f t="shared" si="198"/>
        <v>36.309603023379445</v>
      </c>
      <c r="BH154" s="63">
        <f t="shared" si="199"/>
        <v>73.022722540554739</v>
      </c>
      <c r="BI154" s="60" t="e">
        <f t="shared" si="152"/>
        <v>#NUM!</v>
      </c>
      <c r="BJ154" s="66" t="e">
        <f t="shared" si="200"/>
        <v>#NUM!</v>
      </c>
      <c r="BK154" s="63" t="e">
        <f t="shared" si="153"/>
        <v>#NUM!</v>
      </c>
      <c r="BL154" s="51">
        <f t="shared" si="201"/>
        <v>36.309603023379445</v>
      </c>
      <c r="BM154" s="63">
        <f t="shared" si="202"/>
        <v>73.022722540554739</v>
      </c>
    </row>
    <row r="155" spans="14:65" x14ac:dyDescent="0.3">
      <c r="N155" s="11">
        <v>37</v>
      </c>
      <c r="O155" s="52">
        <f t="shared" si="154"/>
        <v>234.42288153199232</v>
      </c>
      <c r="P155" s="50" t="str">
        <f t="shared" si="155"/>
        <v>23.3035714285714</v>
      </c>
      <c r="Q155" s="18" t="str">
        <f t="shared" si="156"/>
        <v>1+0.558658426433156i</v>
      </c>
      <c r="R155" s="18">
        <f t="shared" si="167"/>
        <v>1.1454690032579538</v>
      </c>
      <c r="S155" s="18">
        <f t="shared" si="168"/>
        <v>0.50946644248721451</v>
      </c>
      <c r="T155" s="18" t="str">
        <f t="shared" si="157"/>
        <v>1+0.00260707265668806i</v>
      </c>
      <c r="U155" s="18">
        <f t="shared" si="169"/>
        <v>1.000003398408144</v>
      </c>
      <c r="V155" s="18">
        <f t="shared" si="170"/>
        <v>2.6070667501041454E-3</v>
      </c>
      <c r="W155" s="32" t="str">
        <f t="shared" si="158"/>
        <v>1-0.00360047698977636i</v>
      </c>
      <c r="X155" s="18">
        <f t="shared" si="171"/>
        <v>1.0000064816962708</v>
      </c>
      <c r="Y155" s="18">
        <f t="shared" si="172"/>
        <v>-3.6004614317147647E-3</v>
      </c>
      <c r="Z155" s="32" t="str">
        <f t="shared" si="159"/>
        <v>0.99999978018365+0.00176710183222886i</v>
      </c>
      <c r="AA155" s="18">
        <f t="shared" si="173"/>
        <v>1.0000013415072171</v>
      </c>
      <c r="AB155" s="18">
        <f t="shared" si="174"/>
        <v>1.7671003813228643E-3</v>
      </c>
      <c r="AC155" s="68" t="str">
        <f t="shared" si="175"/>
        <v>17.7332190543231-9.97114211394077i</v>
      </c>
      <c r="AD155" s="66">
        <f t="shared" si="176"/>
        <v>26.168857027595465</v>
      </c>
      <c r="AE155" s="63">
        <f t="shared" si="177"/>
        <v>-29.34844167453463</v>
      </c>
      <c r="AF155" s="51" t="e">
        <f t="shared" si="178"/>
        <v>#NUM!</v>
      </c>
      <c r="AG155" s="51" t="str">
        <f t="shared" si="160"/>
        <v>1-0.782121797006421i</v>
      </c>
      <c r="AH155" s="51">
        <f t="shared" si="179"/>
        <v>1.2695331840296862</v>
      </c>
      <c r="AI155" s="51">
        <f t="shared" si="180"/>
        <v>-0.66374413438885627</v>
      </c>
      <c r="AJ155" s="51" t="str">
        <f t="shared" si="161"/>
        <v>1+0.00260707265668806i</v>
      </c>
      <c r="AK155" s="51">
        <f t="shared" si="181"/>
        <v>1.000003398408144</v>
      </c>
      <c r="AL155" s="51">
        <f t="shared" si="182"/>
        <v>2.6070667501041454E-3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-0.000170731707317073</v>
      </c>
      <c r="AT155" s="32" t="str">
        <f t="shared" si="164"/>
        <v>0.0000559710513865236i</v>
      </c>
      <c r="AU155" s="32">
        <f t="shared" si="188"/>
        <v>5.59710513865236E-5</v>
      </c>
      <c r="AV155" s="32">
        <f t="shared" si="189"/>
        <v>1.5707963267948966</v>
      </c>
      <c r="AW155" s="32" t="str">
        <f t="shared" si="165"/>
        <v>1+0.0119167174780282i</v>
      </c>
      <c r="AX155" s="32">
        <f t="shared" si="190"/>
        <v>1.000071001557115</v>
      </c>
      <c r="AY155" s="32">
        <f t="shared" si="191"/>
        <v>1.1916153435730555E-2</v>
      </c>
      <c r="AZ155" s="32" t="str">
        <f t="shared" si="166"/>
        <v>1+0.226417632082536i</v>
      </c>
      <c r="BA155" s="32">
        <f t="shared" si="192"/>
        <v>1.0253121203408564</v>
      </c>
      <c r="BB155" s="32">
        <f t="shared" si="193"/>
        <v>0.22266335462754255</v>
      </c>
      <c r="BC155" s="60" t="str">
        <f t="shared" si="194"/>
        <v>-0.654211535515827+3.05815339212207i</v>
      </c>
      <c r="BD155" s="51">
        <f t="shared" si="195"/>
        <v>9.903519501651914</v>
      </c>
      <c r="BE155" s="63">
        <f t="shared" si="196"/>
        <v>102.07492517248527</v>
      </c>
      <c r="BF155" s="60" t="str">
        <f t="shared" si="197"/>
        <v>18.892005611912+60.7541401974296i</v>
      </c>
      <c r="BG155" s="66">
        <f t="shared" si="198"/>
        <v>36.072376529247379</v>
      </c>
      <c r="BH155" s="63">
        <f t="shared" si="199"/>
        <v>72.726483497950596</v>
      </c>
      <c r="BI155" s="60" t="e">
        <f t="shared" si="152"/>
        <v>#NUM!</v>
      </c>
      <c r="BJ155" s="66" t="e">
        <f t="shared" si="200"/>
        <v>#NUM!</v>
      </c>
      <c r="BK155" s="63" t="e">
        <f t="shared" si="153"/>
        <v>#NUM!</v>
      </c>
      <c r="BL155" s="51">
        <f t="shared" si="201"/>
        <v>36.072376529247379</v>
      </c>
      <c r="BM155" s="63">
        <f t="shared" si="202"/>
        <v>72.726483497950596</v>
      </c>
    </row>
    <row r="156" spans="14:65" x14ac:dyDescent="0.3">
      <c r="N156" s="11">
        <v>38</v>
      </c>
      <c r="O156" s="52">
        <f t="shared" si="154"/>
        <v>239.88329190194912</v>
      </c>
      <c r="P156" s="50" t="str">
        <f t="shared" si="155"/>
        <v>23.3035714285714</v>
      </c>
      <c r="Q156" s="18" t="str">
        <f t="shared" si="156"/>
        <v>1+0.571671252847645i</v>
      </c>
      <c r="R156" s="18">
        <f t="shared" si="167"/>
        <v>1.151871529873187</v>
      </c>
      <c r="S156" s="18">
        <f t="shared" si="168"/>
        <v>0.51932903957590404</v>
      </c>
      <c r="T156" s="18" t="str">
        <f t="shared" si="157"/>
        <v>1+0.00266779917995568i</v>
      </c>
      <c r="U156" s="18">
        <f t="shared" si="169"/>
        <v>1.0000035585699005</v>
      </c>
      <c r="V156" s="18">
        <f t="shared" si="170"/>
        <v>2.6677928509382036E-3</v>
      </c>
      <c r="W156" s="32" t="str">
        <f t="shared" si="158"/>
        <v>1-0.00368434287250627i</v>
      </c>
      <c r="X156" s="18">
        <f t="shared" si="171"/>
        <v>1.0000067871681682</v>
      </c>
      <c r="Y156" s="18">
        <f t="shared" si="172"/>
        <v>-3.6843262017490297E-3</v>
      </c>
      <c r="Z156" s="32" t="str">
        <f t="shared" si="159"/>
        <v>0.999999769824025+0.00180826292156628i</v>
      </c>
      <c r="AA156" s="18">
        <f t="shared" si="173"/>
        <v>1.0000014047304617</v>
      </c>
      <c r="AB156" s="18">
        <f t="shared" si="174"/>
        <v>1.808261366892612E-3</v>
      </c>
      <c r="AC156" s="68" t="str">
        <f t="shared" si="175"/>
        <v>17.5353587602304-10.0902888180907i</v>
      </c>
      <c r="AD156" s="66">
        <f t="shared" si="176"/>
        <v>26.120446469519301</v>
      </c>
      <c r="AE156" s="63">
        <f t="shared" si="177"/>
        <v>-29.917210961597046</v>
      </c>
      <c r="AF156" s="51" t="e">
        <f t="shared" si="178"/>
        <v>#NUM!</v>
      </c>
      <c r="AG156" s="51" t="str">
        <f t="shared" si="160"/>
        <v>1-0.800339753986704i</v>
      </c>
      <c r="AH156" s="51">
        <f t="shared" si="179"/>
        <v>1.2808371175959485</v>
      </c>
      <c r="AI156" s="51">
        <f t="shared" si="180"/>
        <v>-0.67494807495678899</v>
      </c>
      <c r="AJ156" s="51" t="str">
        <f t="shared" si="161"/>
        <v>1+0.00266779917995568i</v>
      </c>
      <c r="AK156" s="51">
        <f t="shared" si="181"/>
        <v>1.0000035585699005</v>
      </c>
      <c r="AL156" s="51">
        <f t="shared" si="182"/>
        <v>2.6677928509382036E-3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-0.000170731707317073</v>
      </c>
      <c r="AT156" s="32" t="str">
        <f t="shared" si="164"/>
        <v>0.0000572747846544155i</v>
      </c>
      <c r="AU156" s="32">
        <f t="shared" si="188"/>
        <v>5.7274784654415499E-5</v>
      </c>
      <c r="AV156" s="32">
        <f t="shared" si="189"/>
        <v>1.5707963267948966</v>
      </c>
      <c r="AW156" s="32" t="str">
        <f t="shared" si="165"/>
        <v>1+0.0121942934862559i</v>
      </c>
      <c r="AX156" s="32">
        <f t="shared" si="190"/>
        <v>1.0000743476330292</v>
      </c>
      <c r="AY156" s="32">
        <f t="shared" si="191"/>
        <v>1.2193689106471653E-2</v>
      </c>
      <c r="AZ156" s="32" t="str">
        <f t="shared" si="166"/>
        <v>1+0.231691576238862i</v>
      </c>
      <c r="BA156" s="32">
        <f t="shared" si="192"/>
        <v>1.0264896426657448</v>
      </c>
      <c r="BB156" s="32">
        <f t="shared" si="193"/>
        <v>0.22767438092091449</v>
      </c>
      <c r="BC156" s="60" t="str">
        <f t="shared" si="194"/>
        <v>-0.654207157765706+2.98890032207248i</v>
      </c>
      <c r="BD156" s="51">
        <f t="shared" si="195"/>
        <v>9.7134600485543192</v>
      </c>
      <c r="BE156" s="63">
        <f t="shared" si="196"/>
        <v>102.34613420752676</v>
      </c>
      <c r="BF156" s="60" t="str">
        <f t="shared" si="197"/>
        <v>18.6871102832633+59.0125786148273i</v>
      </c>
      <c r="BG156" s="66">
        <f t="shared" si="198"/>
        <v>35.833906518073618</v>
      </c>
      <c r="BH156" s="63">
        <f t="shared" si="199"/>
        <v>72.428923245929724</v>
      </c>
      <c r="BI156" s="60" t="e">
        <f t="shared" si="152"/>
        <v>#NUM!</v>
      </c>
      <c r="BJ156" s="66" t="e">
        <f t="shared" si="200"/>
        <v>#NUM!</v>
      </c>
      <c r="BK156" s="63" t="e">
        <f t="shared" si="153"/>
        <v>#NUM!</v>
      </c>
      <c r="BL156" s="51">
        <f t="shared" si="201"/>
        <v>35.833906518073618</v>
      </c>
      <c r="BM156" s="63">
        <f t="shared" si="202"/>
        <v>72.428923245929724</v>
      </c>
    </row>
    <row r="157" spans="14:65" x14ac:dyDescent="0.3">
      <c r="N157" s="11">
        <v>39</v>
      </c>
      <c r="O157" s="52">
        <f t="shared" si="154"/>
        <v>245.4708915685033</v>
      </c>
      <c r="P157" s="50" t="str">
        <f t="shared" si="155"/>
        <v>23.3035714285714</v>
      </c>
      <c r="Q157" s="18" t="str">
        <f t="shared" si="156"/>
        <v>1+0.584987186927352i</v>
      </c>
      <c r="R157" s="18">
        <f t="shared" si="167"/>
        <v>1.1585378754573268</v>
      </c>
      <c r="S157" s="18">
        <f t="shared" si="168"/>
        <v>0.52930752352210497</v>
      </c>
      <c r="T157" s="18" t="str">
        <f t="shared" si="157"/>
        <v>1+0.00272994020566098i</v>
      </c>
      <c r="U157" s="18">
        <f t="shared" si="169"/>
        <v>1.0000037262798207</v>
      </c>
      <c r="V157" s="18">
        <f t="shared" si="170"/>
        <v>2.7299334239979361E-3</v>
      </c>
      <c r="W157" s="32" t="str">
        <f t="shared" si="158"/>
        <v>1-0.0037701622425952i</v>
      </c>
      <c r="X157" s="18">
        <f t="shared" si="171"/>
        <v>1.0000071070364127</v>
      </c>
      <c r="Y157" s="18">
        <f t="shared" si="172"/>
        <v>-3.7701443795638404E-3</v>
      </c>
      <c r="Z157" s="32" t="str">
        <f t="shared" si="159"/>
        <v>0.999999758976166+0.0018503827758399i</v>
      </c>
      <c r="AA157" s="18">
        <f t="shared" si="173"/>
        <v>1.0000014709333218</v>
      </c>
      <c r="AB157" s="18">
        <f t="shared" si="174"/>
        <v>1.8503811099771818E-3</v>
      </c>
      <c r="AC157" s="68" t="str">
        <f t="shared" si="175"/>
        <v>17.3328215324914-10.2068401653306i</v>
      </c>
      <c r="AD157" s="66">
        <f t="shared" si="176"/>
        <v>26.070326283423853</v>
      </c>
      <c r="AE157" s="63">
        <f t="shared" si="177"/>
        <v>-30.492705887987778</v>
      </c>
      <c r="AF157" s="51" t="e">
        <f t="shared" si="178"/>
        <v>#NUM!</v>
      </c>
      <c r="AG157" s="51" t="str">
        <f t="shared" si="160"/>
        <v>1-0.818982061698295i</v>
      </c>
      <c r="AH157" s="51">
        <f t="shared" si="179"/>
        <v>1.2925678386001989</v>
      </c>
      <c r="AI157" s="51">
        <f t="shared" si="180"/>
        <v>-0.68620867673102837</v>
      </c>
      <c r="AJ157" s="51" t="str">
        <f t="shared" si="161"/>
        <v>1+0.00272994020566098i</v>
      </c>
      <c r="AK157" s="51">
        <f t="shared" si="181"/>
        <v>1.0000037262798207</v>
      </c>
      <c r="AL157" s="51">
        <f t="shared" si="182"/>
        <v>2.7299334239979361E-3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-0.000170731707317073</v>
      </c>
      <c r="AT157" s="32" t="str">
        <f t="shared" si="164"/>
        <v>0.0000586088857712528i</v>
      </c>
      <c r="AU157" s="32">
        <f t="shared" si="188"/>
        <v>5.8608885771252799E-5</v>
      </c>
      <c r="AV157" s="32">
        <f t="shared" si="189"/>
        <v>1.5707963267948966</v>
      </c>
      <c r="AW157" s="32" t="str">
        <f t="shared" si="165"/>
        <v>1+0.0124783350703005i</v>
      </c>
      <c r="AX157" s="32">
        <f t="shared" si="190"/>
        <v>1.0000778513926436</v>
      </c>
      <c r="AY157" s="32">
        <f t="shared" si="191"/>
        <v>1.2477687468416702E-2</v>
      </c>
      <c r="AZ157" s="32" t="str">
        <f t="shared" si="166"/>
        <v>1+0.237088366335709i</v>
      </c>
      <c r="BA157" s="32">
        <f t="shared" si="192"/>
        <v>1.0277212138764751</v>
      </c>
      <c r="BB157" s="32">
        <f t="shared" si="193"/>
        <v>0.23279010989973031</v>
      </c>
      <c r="BC157" s="60" t="str">
        <f t="shared" si="194"/>
        <v>-0.654202573761367+2.92123200150408i</v>
      </c>
      <c r="BD157" s="51">
        <f t="shared" si="195"/>
        <v>9.5238446077323005</v>
      </c>
      <c r="BE157" s="63">
        <f t="shared" si="196"/>
        <v>102.62297197961759</v>
      </c>
      <c r="BF157" s="60" t="str">
        <f t="shared" si="197"/>
        <v>18.4773716680986+57.310534043203i</v>
      </c>
      <c r="BG157" s="66">
        <f t="shared" si="198"/>
        <v>35.594170891156146</v>
      </c>
      <c r="BH157" s="63">
        <f t="shared" si="199"/>
        <v>72.130266091629835</v>
      </c>
      <c r="BI157" s="60" t="e">
        <f t="shared" si="152"/>
        <v>#NUM!</v>
      </c>
      <c r="BJ157" s="66" t="e">
        <f t="shared" si="200"/>
        <v>#NUM!</v>
      </c>
      <c r="BK157" s="63" t="e">
        <f t="shared" si="153"/>
        <v>#NUM!</v>
      </c>
      <c r="BL157" s="51">
        <f t="shared" si="201"/>
        <v>35.594170891156146</v>
      </c>
      <c r="BM157" s="63">
        <f t="shared" si="202"/>
        <v>72.130266091629835</v>
      </c>
    </row>
    <row r="158" spans="14:65" x14ac:dyDescent="0.3">
      <c r="N158" s="11">
        <v>40</v>
      </c>
      <c r="O158" s="52">
        <f t="shared" si="154"/>
        <v>251.18864315095806</v>
      </c>
      <c r="P158" s="50" t="str">
        <f t="shared" si="155"/>
        <v>23.3035714285714</v>
      </c>
      <c r="Q158" s="18" t="str">
        <f t="shared" si="156"/>
        <v>1+0.598613288956794i</v>
      </c>
      <c r="R158" s="18">
        <f t="shared" si="167"/>
        <v>1.1654775286189221</v>
      </c>
      <c r="S158" s="18">
        <f t="shared" si="168"/>
        <v>0.53939923596976869</v>
      </c>
      <c r="T158" s="18" t="str">
        <f t="shared" si="157"/>
        <v>1+0.00279352868179837i</v>
      </c>
      <c r="U158" s="18">
        <f t="shared" si="169"/>
        <v>1.0000039018936355</v>
      </c>
      <c r="V158" s="18">
        <f t="shared" si="170"/>
        <v>2.7935214151170278E-3</v>
      </c>
      <c r="W158" s="32" t="str">
        <f t="shared" si="158"/>
        <v>1-0.00385798060260917i</v>
      </c>
      <c r="X158" s="18">
        <f t="shared" si="171"/>
        <v>1.0000074419794736</v>
      </c>
      <c r="Y158" s="18">
        <f t="shared" si="172"/>
        <v>-3.8579614620339116E-3</v>
      </c>
      <c r="Z158" s="32" t="str">
        <f t="shared" si="159"/>
        <v>0.999999747617062+0.00189348372755398i</v>
      </c>
      <c r="AA158" s="18">
        <f t="shared" si="173"/>
        <v>1.000001540256221</v>
      </c>
      <c r="AB158" s="18">
        <f t="shared" si="174"/>
        <v>1.8934819425500662E-3</v>
      </c>
      <c r="AC158" s="68" t="str">
        <f t="shared" si="175"/>
        <v>17.1256618952655-10.3205795142982i</v>
      </c>
      <c r="AD158" s="66">
        <f t="shared" si="176"/>
        <v>26.018456758667124</v>
      </c>
      <c r="AE158" s="63">
        <f t="shared" si="177"/>
        <v>-31.074776139774183</v>
      </c>
      <c r="AF158" s="51" t="e">
        <f t="shared" si="178"/>
        <v>#NUM!</v>
      </c>
      <c r="AG158" s="51" t="str">
        <f t="shared" si="160"/>
        <v>1-0.838058604539513i</v>
      </c>
      <c r="AH158" s="51">
        <f t="shared" si="179"/>
        <v>1.3047383740209053</v>
      </c>
      <c r="AI158" s="51">
        <f t="shared" si="180"/>
        <v>-0.69752048805460076</v>
      </c>
      <c r="AJ158" s="51" t="str">
        <f t="shared" si="161"/>
        <v>1+0.00279352868179837i</v>
      </c>
      <c r="AK158" s="51">
        <f t="shared" si="181"/>
        <v>1.0000039018936355</v>
      </c>
      <c r="AL158" s="51">
        <f t="shared" si="182"/>
        <v>2.7935214151170278E-3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-0.000170731707317073</v>
      </c>
      <c r="AT158" s="32" t="str">
        <f t="shared" si="164"/>
        <v>0.0000599740620951061i</v>
      </c>
      <c r="AU158" s="32">
        <f t="shared" si="188"/>
        <v>5.9974062095106101E-5</v>
      </c>
      <c r="AV158" s="32">
        <f t="shared" si="189"/>
        <v>1.5707963267948966</v>
      </c>
      <c r="AW158" s="32" t="str">
        <f t="shared" si="165"/>
        <v>1+0.0127689928327697i</v>
      </c>
      <c r="AX158" s="32">
        <f t="shared" si="190"/>
        <v>1.0000815202662048</v>
      </c>
      <c r="AY158" s="32">
        <f t="shared" si="191"/>
        <v>1.2768298917904012E-2</v>
      </c>
      <c r="AZ158" s="32" t="str">
        <f t="shared" si="166"/>
        <v>1+0.242610863822625i</v>
      </c>
      <c r="BA158" s="32">
        <f t="shared" si="192"/>
        <v>1.0290092474048813</v>
      </c>
      <c r="BB158" s="32">
        <f t="shared" si="193"/>
        <v>0.23801218245918018</v>
      </c>
      <c r="BC158" s="60" t="str">
        <f t="shared" si="194"/>
        <v>-0.654197773788421+2.85511255141783i</v>
      </c>
      <c r="BD158" s="51">
        <f t="shared" si="195"/>
        <v>9.3346918723629919</v>
      </c>
      <c r="BE158" s="63">
        <f t="shared" si="196"/>
        <v>102.90552388805141</v>
      </c>
      <c r="BF158" s="60" t="str">
        <f t="shared" si="197"/>
        <v>18.2628462226426+55.6473923709709i</v>
      </c>
      <c r="BG158" s="66">
        <f t="shared" si="198"/>
        <v>35.353148631030116</v>
      </c>
      <c r="BH158" s="63">
        <f t="shared" si="199"/>
        <v>71.830747748277275</v>
      </c>
      <c r="BI158" s="60" t="e">
        <f t="shared" si="152"/>
        <v>#NUM!</v>
      </c>
      <c r="BJ158" s="66" t="e">
        <f t="shared" si="200"/>
        <v>#NUM!</v>
      </c>
      <c r="BK158" s="63" t="e">
        <f t="shared" si="153"/>
        <v>#NUM!</v>
      </c>
      <c r="BL158" s="51">
        <f t="shared" si="201"/>
        <v>35.353148631030116</v>
      </c>
      <c r="BM158" s="63">
        <f t="shared" si="202"/>
        <v>71.830747748277275</v>
      </c>
    </row>
    <row r="159" spans="14:65" x14ac:dyDescent="0.3">
      <c r="N159" s="11">
        <v>41</v>
      </c>
      <c r="O159" s="52">
        <f t="shared" si="154"/>
        <v>257.03957827688663</v>
      </c>
      <c r="P159" s="50" t="str">
        <f t="shared" si="155"/>
        <v>23.3035714285714</v>
      </c>
      <c r="Q159" s="18" t="str">
        <f t="shared" si="156"/>
        <v>1+0.612556783675619i</v>
      </c>
      <c r="R159" s="18">
        <f t="shared" si="167"/>
        <v>1.1727002230864541</v>
      </c>
      <c r="S159" s="18">
        <f t="shared" si="168"/>
        <v>0.54960130500832494</v>
      </c>
      <c r="T159" s="18" t="str">
        <f t="shared" si="157"/>
        <v>1+0.00285859832381956i</v>
      </c>
      <c r="U159" s="18">
        <f t="shared" si="169"/>
        <v>1.0000040857838417</v>
      </c>
      <c r="V159" s="18">
        <f t="shared" si="170"/>
        <v>2.8585905374319356E-3</v>
      </c>
      <c r="W159" s="32" t="str">
        <f t="shared" si="158"/>
        <v>1-0.00394784451500504i</v>
      </c>
      <c r="X159" s="18">
        <f t="shared" si="171"/>
        <v>1.0000077927077942</v>
      </c>
      <c r="Y159" s="18">
        <f t="shared" si="172"/>
        <v>-3.9478240055177694E-3</v>
      </c>
      <c r="Z159" s="32" t="str">
        <f t="shared" si="159"/>
        <v>0.999999735722621+0.00193758862940363i</v>
      </c>
      <c r="AA159" s="18">
        <f t="shared" si="173"/>
        <v>1.0000016128462037</v>
      </c>
      <c r="AB159" s="18">
        <f t="shared" si="174"/>
        <v>1.9375867167376411E-3</v>
      </c>
      <c r="AC159" s="68" t="str">
        <f t="shared" si="175"/>
        <v>16.9139469091831-10.4312892547188i</v>
      </c>
      <c r="AD159" s="66">
        <f t="shared" si="176"/>
        <v>25.964798703917872</v>
      </c>
      <c r="AE159" s="63">
        <f t="shared" si="177"/>
        <v>-31.663259213794806</v>
      </c>
      <c r="AF159" s="51" t="e">
        <f t="shared" si="178"/>
        <v>#NUM!</v>
      </c>
      <c r="AG159" s="51" t="str">
        <f t="shared" si="160"/>
        <v>1-0.857579497145869i</v>
      </c>
      <c r="AH159" s="51">
        <f t="shared" si="179"/>
        <v>1.3173619828752314</v>
      </c>
      <c r="AI159" s="51">
        <f t="shared" si="180"/>
        <v>-0.70887792794661175</v>
      </c>
      <c r="AJ159" s="51" t="str">
        <f t="shared" si="161"/>
        <v>1+0.00285859832381956i</v>
      </c>
      <c r="AK159" s="51">
        <f t="shared" si="181"/>
        <v>1.0000040857838417</v>
      </c>
      <c r="AL159" s="51">
        <f t="shared" si="182"/>
        <v>2.8585905374319356E-3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-0.000170731707317073</v>
      </c>
      <c r="AT159" s="32" t="str">
        <f t="shared" si="164"/>
        <v>0.0000613710374605329i</v>
      </c>
      <c r="AU159" s="32">
        <f t="shared" si="188"/>
        <v>6.1371037460532905E-5</v>
      </c>
      <c r="AV159" s="32">
        <f t="shared" si="189"/>
        <v>1.5707963267948966</v>
      </c>
      <c r="AW159" s="32" t="str">
        <f t="shared" si="165"/>
        <v>1+0.0130664208842564i</v>
      </c>
      <c r="AX159" s="32">
        <f t="shared" si="190"/>
        <v>1.0000853620340238</v>
      </c>
      <c r="AY159" s="32">
        <f t="shared" si="191"/>
        <v>1.3065677344509252E-2</v>
      </c>
      <c r="AZ159" s="32" t="str">
        <f t="shared" si="166"/>
        <v>1+0.248261996800871i</v>
      </c>
      <c r="BA159" s="32">
        <f t="shared" si="192"/>
        <v>1.0303562583182362</v>
      </c>
      <c r="BB159" s="32">
        <f t="shared" si="193"/>
        <v>0.24334222766311381</v>
      </c>
      <c r="BC159" s="60" t="str">
        <f t="shared" si="194"/>
        <v>-0.6541927476752+2.79050691402059i</v>
      </c>
      <c r="BD159" s="51">
        <f t="shared" si="195"/>
        <v>9.1460212191714287</v>
      </c>
      <c r="BE159" s="63">
        <f t="shared" si="196"/>
        <v>103.193874454088</v>
      </c>
      <c r="BF159" s="60" t="str">
        <f t="shared" si="197"/>
        <v>18.0436033848906+54.0225595727919i</v>
      </c>
      <c r="BG159" s="66">
        <f t="shared" si="198"/>
        <v>35.110819923089295</v>
      </c>
      <c r="BH159" s="63">
        <f t="shared" si="199"/>
        <v>71.530615240293159</v>
      </c>
      <c r="BI159" s="60" t="e">
        <f t="shared" si="152"/>
        <v>#NUM!</v>
      </c>
      <c r="BJ159" s="66" t="e">
        <f t="shared" si="200"/>
        <v>#NUM!</v>
      </c>
      <c r="BK159" s="63" t="e">
        <f t="shared" si="153"/>
        <v>#NUM!</v>
      </c>
      <c r="BL159" s="51">
        <f t="shared" si="201"/>
        <v>35.110819923089295</v>
      </c>
      <c r="BM159" s="63">
        <f t="shared" si="202"/>
        <v>71.530615240293159</v>
      </c>
    </row>
    <row r="160" spans="14:65" x14ac:dyDescent="0.3">
      <c r="N160" s="11">
        <v>42</v>
      </c>
      <c r="O160" s="52">
        <f t="shared" si="154"/>
        <v>263.02679918953817</v>
      </c>
      <c r="P160" s="50" t="str">
        <f t="shared" si="155"/>
        <v>23.3035714285714</v>
      </c>
      <c r="Q160" s="18" t="str">
        <f t="shared" si="156"/>
        <v>1+0.626825064109298i</v>
      </c>
      <c r="R160" s="18">
        <f t="shared" si="167"/>
        <v>1.1802159382907966</v>
      </c>
      <c r="S160" s="18">
        <f t="shared" si="168"/>
        <v>0.55991064462045692</v>
      </c>
      <c r="T160" s="18" t="str">
        <f t="shared" si="157"/>
        <v>1+0.00292518363251006i</v>
      </c>
      <c r="U160" s="18">
        <f t="shared" si="169"/>
        <v>1.0000042783404899</v>
      </c>
      <c r="V160" s="18">
        <f t="shared" si="170"/>
        <v>2.92517528924733E-3</v>
      </c>
      <c r="W160" s="32" t="str">
        <f t="shared" si="158"/>
        <v>1-0.00403980162681866i</v>
      </c>
      <c r="X160" s="18">
        <f t="shared" si="171"/>
        <v>1.0000081599652995</v>
      </c>
      <c r="Y160" s="18">
        <f t="shared" si="172"/>
        <v>-4.0397796505167935E-3</v>
      </c>
      <c r="Z160" s="32" t="str">
        <f t="shared" si="159"/>
        <v>0.999999723267612+0.0019827208663916i</v>
      </c>
      <c r="AA160" s="18">
        <f t="shared" si="173"/>
        <v>1.0000016888572412</v>
      </c>
      <c r="AB160" s="18">
        <f t="shared" si="174"/>
        <v>1.9827188169332538E-3</v>
      </c>
      <c r="AC160" s="68" t="str">
        <f t="shared" si="175"/>
        <v>16.6977564820728-10.5387516297519i</v>
      </c>
      <c r="AD160" s="66">
        <f t="shared" si="176"/>
        <v>25.909313555605333</v>
      </c>
      <c r="AE160" s="63">
        <f t="shared" si="177"/>
        <v>-32.257980387100638</v>
      </c>
      <c r="AF160" s="51" t="e">
        <f t="shared" si="178"/>
        <v>#NUM!</v>
      </c>
      <c r="AG160" s="51" t="str">
        <f t="shared" si="160"/>
        <v>1-0.87755508975302i</v>
      </c>
      <c r="AH160" s="51">
        <f t="shared" si="179"/>
        <v>1.330452154551764</v>
      </c>
      <c r="AI160" s="51">
        <f t="shared" si="180"/>
        <v>-0.72027529899889531</v>
      </c>
      <c r="AJ160" s="51" t="str">
        <f t="shared" si="161"/>
        <v>1+0.00292518363251006i</v>
      </c>
      <c r="AK160" s="51">
        <f t="shared" si="181"/>
        <v>1.0000042783404899</v>
      </c>
      <c r="AL160" s="51">
        <f t="shared" si="182"/>
        <v>2.92517528924733E-3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-0.000170731707317073</v>
      </c>
      <c r="AT160" s="32" t="str">
        <f t="shared" si="164"/>
        <v>0.0000628005525623629i</v>
      </c>
      <c r="AU160" s="32">
        <f t="shared" si="188"/>
        <v>6.2800552562362899E-5</v>
      </c>
      <c r="AV160" s="32">
        <f t="shared" si="189"/>
        <v>1.5707963267948966</v>
      </c>
      <c r="AW160" s="32" t="str">
        <f t="shared" si="165"/>
        <v>1+0.0133707769250504i</v>
      </c>
      <c r="AX160" s="32">
        <f t="shared" si="190"/>
        <v>1.0000893848429646</v>
      </c>
      <c r="AY160" s="32">
        <f t="shared" si="191"/>
        <v>1.336998021170294E-2</v>
      </c>
      <c r="AZ160" s="32" t="str">
        <f t="shared" si="166"/>
        <v>1+0.254044761575958i</v>
      </c>
      <c r="BA160" s="32">
        <f t="shared" si="192"/>
        <v>1.0317648670526562</v>
      </c>
      <c r="BB160" s="32">
        <f t="shared" si="193"/>
        <v>0.248781859662001</v>
      </c>
      <c r="BC160" s="60" t="str">
        <f t="shared" si="194"/>
        <v>-0.654187484771342+2.72738083413519i</v>
      </c>
      <c r="BD160" s="51">
        <f t="shared" si="195"/>
        <v>8.9578527240508272</v>
      </c>
      <c r="BE160" s="63">
        <f t="shared" si="196"/>
        <v>103.48810713974461</v>
      </c>
      <c r="BF160" s="60" t="str">
        <f t="shared" si="197"/>
        <v>17.8197258963648+52.4354604235593i</v>
      </c>
      <c r="BG160" s="66">
        <f t="shared" si="198"/>
        <v>34.867166279656161</v>
      </c>
      <c r="BH160" s="63">
        <f t="shared" si="199"/>
        <v>71.23012675264394</v>
      </c>
      <c r="BI160" s="60" t="e">
        <f t="shared" si="152"/>
        <v>#NUM!</v>
      </c>
      <c r="BJ160" s="66" t="e">
        <f t="shared" si="200"/>
        <v>#NUM!</v>
      </c>
      <c r="BK160" s="63" t="e">
        <f t="shared" si="153"/>
        <v>#NUM!</v>
      </c>
      <c r="BL160" s="51">
        <f t="shared" si="201"/>
        <v>34.867166279656161</v>
      </c>
      <c r="BM160" s="63">
        <f t="shared" si="202"/>
        <v>71.23012675264394</v>
      </c>
    </row>
    <row r="161" spans="14:65" x14ac:dyDescent="0.3">
      <c r="N161" s="11">
        <v>43</v>
      </c>
      <c r="O161" s="52">
        <f t="shared" si="154"/>
        <v>269.15348039269179</v>
      </c>
      <c r="P161" s="50" t="str">
        <f t="shared" si="155"/>
        <v>23.3035714285714</v>
      </c>
      <c r="Q161" s="18" t="str">
        <f t="shared" si="156"/>
        <v>1+0.641425695488981i</v>
      </c>
      <c r="R161" s="18">
        <f t="shared" si="167"/>
        <v>1.1880348996698384</v>
      </c>
      <c r="S161" s="18">
        <f t="shared" si="168"/>
        <v>0.57032395496056476</v>
      </c>
      <c r="T161" s="18" t="str">
        <f t="shared" si="157"/>
        <v>1+0.00299331991228191i</v>
      </c>
      <c r="U161" s="18">
        <f t="shared" si="169"/>
        <v>1.0000044799720136</v>
      </c>
      <c r="V161" s="18">
        <f t="shared" si="170"/>
        <v>2.9933109723169894E-3</v>
      </c>
      <c r="W161" s="32" t="str">
        <f t="shared" si="158"/>
        <v>1-0.00413390069492794i</v>
      </c>
      <c r="X161" s="18">
        <f t="shared" si="171"/>
        <v>1.0000085445309732</v>
      </c>
      <c r="Y161" s="18">
        <f t="shared" si="172"/>
        <v>-4.1338771469070995E-3</v>
      </c>
      <c r="Z161" s="32" t="str">
        <f t="shared" si="159"/>
        <v>0.999999710225616+0.00202890436822735i</v>
      </c>
      <c r="AA161" s="18">
        <f t="shared" si="173"/>
        <v>1.000001768450562</v>
      </c>
      <c r="AB161" s="18">
        <f t="shared" si="174"/>
        <v>2.0289021721933754E-3</v>
      </c>
      <c r="AC161" s="68" t="str">
        <f t="shared" si="175"/>
        <v>16.4771836197887-10.6427496027434i</v>
      </c>
      <c r="AD161" s="66">
        <f t="shared" si="176"/>
        <v>25.851963488772263</v>
      </c>
      <c r="AE161" s="63">
        <f t="shared" si="177"/>
        <v>-32.85875273402057</v>
      </c>
      <c r="AF161" s="51" t="e">
        <f t="shared" si="178"/>
        <v>#NUM!</v>
      </c>
      <c r="AG161" s="51" t="str">
        <f t="shared" si="160"/>
        <v>1-0.897995973684575i</v>
      </c>
      <c r="AH161" s="51">
        <f t="shared" si="179"/>
        <v>1.3440226072331178</v>
      </c>
      <c r="AI161" s="51">
        <f t="shared" si="180"/>
        <v>-0.73170680098403951</v>
      </c>
      <c r="AJ161" s="51" t="str">
        <f t="shared" si="161"/>
        <v>1+0.00299331991228191i</v>
      </c>
      <c r="AK161" s="51">
        <f t="shared" si="181"/>
        <v>1.0000044799720136</v>
      </c>
      <c r="AL161" s="51">
        <f t="shared" si="182"/>
        <v>2.9933109723169894E-3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-0.000170731707317073</v>
      </c>
      <c r="AT161" s="32" t="str">
        <f t="shared" si="164"/>
        <v>0.0000642633653484252i</v>
      </c>
      <c r="AU161" s="32">
        <f t="shared" si="188"/>
        <v>6.4263365348425197E-5</v>
      </c>
      <c r="AV161" s="32">
        <f t="shared" si="189"/>
        <v>1.5707963267948966</v>
      </c>
      <c r="AW161" s="32" t="str">
        <f t="shared" si="165"/>
        <v>1+0.0136822223287533i</v>
      </c>
      <c r="AX161" s="32">
        <f t="shared" si="190"/>
        <v>1.0000935972237066</v>
      </c>
      <c r="AY161" s="32">
        <f t="shared" si="191"/>
        <v>1.3681368639335785E-2</v>
      </c>
      <c r="AZ161" s="32" t="str">
        <f t="shared" si="166"/>
        <v>1+0.259962224246314i</v>
      </c>
      <c r="BA161" s="32">
        <f t="shared" si="192"/>
        <v>1.0332378032355818</v>
      </c>
      <c r="BB161" s="32">
        <f t="shared" si="193"/>
        <v>0.25433267441950569</v>
      </c>
      <c r="BC161" s="60" t="str">
        <f t="shared" si="194"/>
        <v>-0.654181973925227+2.66570084103589i</v>
      </c>
      <c r="BD161" s="51">
        <f t="shared" si="195"/>
        <v>8.7702071771428773</v>
      </c>
      <c r="BE161" s="63">
        <f t="shared" si="196"/>
        <v>103.78830415551596</v>
      </c>
      <c r="BF161" s="60" t="str">
        <f t="shared" si="197"/>
        <v>17.5913100618457+50.8855371762881i</v>
      </c>
      <c r="BG161" s="66">
        <f t="shared" si="198"/>
        <v>34.622170665915135</v>
      </c>
      <c r="BH161" s="63">
        <f t="shared" si="199"/>
        <v>70.929551421495361</v>
      </c>
      <c r="BI161" s="60" t="e">
        <f t="shared" si="152"/>
        <v>#NUM!</v>
      </c>
      <c r="BJ161" s="66" t="e">
        <f t="shared" si="200"/>
        <v>#NUM!</v>
      </c>
      <c r="BK161" s="63" t="e">
        <f t="shared" si="153"/>
        <v>#NUM!</v>
      </c>
      <c r="BL161" s="51">
        <f t="shared" si="201"/>
        <v>34.622170665915135</v>
      </c>
      <c r="BM161" s="63">
        <f t="shared" si="202"/>
        <v>70.929551421495361</v>
      </c>
    </row>
    <row r="162" spans="14:65" x14ac:dyDescent="0.3">
      <c r="N162" s="11">
        <v>44</v>
      </c>
      <c r="O162" s="52">
        <f t="shared" si="154"/>
        <v>275.42287033381683</v>
      </c>
      <c r="P162" s="50" t="str">
        <f t="shared" si="155"/>
        <v>23.3035714285714</v>
      </c>
      <c r="Q162" s="18" t="str">
        <f t="shared" si="156"/>
        <v>1+0.656366419262684i</v>
      </c>
      <c r="R162" s="18">
        <f t="shared" si="167"/>
        <v>1.1961675787011272</v>
      </c>
      <c r="S162" s="18">
        <f t="shared" si="168"/>
        <v>0.58083772350545226</v>
      </c>
      <c r="T162" s="18" t="str">
        <f t="shared" si="157"/>
        <v>1+0.00306304328989253i</v>
      </c>
      <c r="U162" s="18">
        <f t="shared" si="169"/>
        <v>1.0000046911060947</v>
      </c>
      <c r="V162" s="18">
        <f t="shared" si="170"/>
        <v>3.0630337105499558E-3</v>
      </c>
      <c r="W162" s="32" t="str">
        <f t="shared" si="158"/>
        <v>1-0.00423019161190431i</v>
      </c>
      <c r="X162" s="18">
        <f t="shared" si="171"/>
        <v>1.0000089472205103</v>
      </c>
      <c r="Y162" s="18">
        <f t="shared" si="172"/>
        <v>-4.2301663797575714E-3</v>
      </c>
      <c r="Z162" s="32" t="str">
        <f t="shared" si="159"/>
        <v>0.99999969656897+0.00207616362201486i</v>
      </c>
      <c r="AA162" s="18">
        <f t="shared" si="173"/>
        <v>1.000001851794994</v>
      </c>
      <c r="AB162" s="18">
        <f t="shared" si="174"/>
        <v>2.076161268922295E-3</v>
      </c>
      <c r="AC162" s="68" t="str">
        <f t="shared" si="175"/>
        <v>16.2523346113537-10.7430677637899i</v>
      </c>
      <c r="AD162" s="66">
        <f t="shared" si="176"/>
        <v>25.792711529794182</v>
      </c>
      <c r="AE162" s="63">
        <f t="shared" si="177"/>
        <v>-33.465377193224228</v>
      </c>
      <c r="AF162" s="51" t="e">
        <f t="shared" si="178"/>
        <v>#NUM!</v>
      </c>
      <c r="AG162" s="51" t="str">
        <f t="shared" si="160"/>
        <v>1-0.91891298696776i</v>
      </c>
      <c r="AH162" s="51">
        <f t="shared" si="179"/>
        <v>1.3580872864503264</v>
      </c>
      <c r="AI162" s="51">
        <f t="shared" si="180"/>
        <v>-0.74316654510023372</v>
      </c>
      <c r="AJ162" s="51" t="str">
        <f t="shared" si="161"/>
        <v>1+0.00306304328989253i</v>
      </c>
      <c r="AK162" s="51">
        <f t="shared" si="181"/>
        <v>1.0000046911060947</v>
      </c>
      <c r="AL162" s="51">
        <f t="shared" si="182"/>
        <v>3.0630337105499558E-3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-0.000170731707317073</v>
      </c>
      <c r="AT162" s="32" t="str">
        <f t="shared" si="164"/>
        <v>0.0000657602514214213i</v>
      </c>
      <c r="AU162" s="32">
        <f t="shared" si="188"/>
        <v>6.5760251421421301E-5</v>
      </c>
      <c r="AV162" s="32">
        <f t="shared" si="189"/>
        <v>1.5707963267948966</v>
      </c>
      <c r="AW162" s="32" t="str">
        <f t="shared" si="165"/>
        <v>1+0.0140009222278406i</v>
      </c>
      <c r="AX162" s="32">
        <f t="shared" si="190"/>
        <v>1.0000980081088204</v>
      </c>
      <c r="AY162" s="32">
        <f t="shared" si="191"/>
        <v>1.4000007487990539E-2</v>
      </c>
      <c r="AZ162" s="32" t="str">
        <f t="shared" si="166"/>
        <v>1+0.266017522328971i</v>
      </c>
      <c r="BA162" s="32">
        <f t="shared" si="192"/>
        <v>1.0347779095951193</v>
      </c>
      <c r="BB162" s="32">
        <f t="shared" si="193"/>
        <v>0.259996246242573</v>
      </c>
      <c r="BC162" s="60" t="str">
        <f t="shared" si="194"/>
        <v>-0.654176203460443+2.60543423069969i</v>
      </c>
      <c r="BD162" s="51">
        <f t="shared" si="195"/>
        <v>8.5831060972710507</v>
      </c>
      <c r="BE162" s="63">
        <f t="shared" si="196"/>
        <v>104.09454625673008</v>
      </c>
      <c r="BF162" s="60" t="str">
        <f t="shared" si="197"/>
        <v>17.3584659410805+49.3722482084406i</v>
      </c>
      <c r="BG162" s="66">
        <f t="shared" si="198"/>
        <v>34.375817627065231</v>
      </c>
      <c r="BH162" s="63">
        <f t="shared" si="199"/>
        <v>70.629169063505827</v>
      </c>
      <c r="BI162" s="60" t="e">
        <f t="shared" si="152"/>
        <v>#NUM!</v>
      </c>
      <c r="BJ162" s="66" t="e">
        <f t="shared" si="200"/>
        <v>#NUM!</v>
      </c>
      <c r="BK162" s="63" t="e">
        <f t="shared" si="153"/>
        <v>#NUM!</v>
      </c>
      <c r="BL162" s="51">
        <f t="shared" si="201"/>
        <v>34.375817627065231</v>
      </c>
      <c r="BM162" s="63">
        <f t="shared" si="202"/>
        <v>70.629169063505827</v>
      </c>
    </row>
    <row r="163" spans="14:65" x14ac:dyDescent="0.3">
      <c r="N163" s="11">
        <v>45</v>
      </c>
      <c r="O163" s="52">
        <f t="shared" si="154"/>
        <v>281.83829312644554</v>
      </c>
      <c r="P163" s="50" t="str">
        <f t="shared" si="155"/>
        <v>23.3035714285714</v>
      </c>
      <c r="Q163" s="18" t="str">
        <f t="shared" si="156"/>
        <v>1+0.671655157199916i</v>
      </c>
      <c r="R163" s="18">
        <f t="shared" si="167"/>
        <v>1.2046246926712252</v>
      </c>
      <c r="S163" s="18">
        <f t="shared" si="168"/>
        <v>0.5914482271137953</v>
      </c>
      <c r="T163" s="18" t="str">
        <f t="shared" si="157"/>
        <v>1+0.00313439073359961i</v>
      </c>
      <c r="U163" s="18">
        <f t="shared" si="169"/>
        <v>1.0000049121905705</v>
      </c>
      <c r="V163" s="18">
        <f t="shared" si="170"/>
        <v>3.1343804691518337E-3</v>
      </c>
      <c r="W163" s="32" t="str">
        <f t="shared" si="158"/>
        <v>1-0.0043287254324665i</v>
      </c>
      <c r="X163" s="18">
        <f t="shared" si="171"/>
        <v>1.0000093688880467</v>
      </c>
      <c r="Y163" s="18">
        <f t="shared" si="172"/>
        <v>-4.3286983957478388E-3</v>
      </c>
      <c r="Z163" s="32" t="str">
        <f t="shared" si="159"/>
        <v>0.999999682268706+0.00212452368523604i</v>
      </c>
      <c r="AA163" s="18">
        <f t="shared" si="173"/>
        <v>1.0000019390673209</v>
      </c>
      <c r="AB163" s="18">
        <f t="shared" si="174"/>
        <v>2.1245211638521921E-3</v>
      </c>
      <c r="AC163" s="68" t="str">
        <f t="shared" si="175"/>
        <v>16.023329142981-10.8394932707593i</v>
      </c>
      <c r="AD163" s="66">
        <f t="shared" si="176"/>
        <v>25.731521670380808</v>
      </c>
      <c r="AE163" s="63">
        <f t="shared" si="177"/>
        <v>-34.077642686881084</v>
      </c>
      <c r="AF163" s="51" t="e">
        <f t="shared" si="178"/>
        <v>#NUM!</v>
      </c>
      <c r="AG163" s="51" t="str">
        <f t="shared" si="160"/>
        <v>1-0.940317220079885i</v>
      </c>
      <c r="AH163" s="51">
        <f t="shared" si="179"/>
        <v>1.3726603638113701</v>
      </c>
      <c r="AI163" s="51">
        <f t="shared" si="180"/>
        <v>-0.75464856877107422</v>
      </c>
      <c r="AJ163" s="51" t="str">
        <f t="shared" si="161"/>
        <v>1+0.00313439073359961i</v>
      </c>
      <c r="AK163" s="51">
        <f t="shared" si="181"/>
        <v>1.0000049121905705</v>
      </c>
      <c r="AL163" s="51">
        <f t="shared" si="182"/>
        <v>3.1343804691518337E-3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-0.000170731707317073</v>
      </c>
      <c r="AT163" s="32" t="str">
        <f t="shared" si="164"/>
        <v>0.0000672920044501609i</v>
      </c>
      <c r="AU163" s="32">
        <f t="shared" si="188"/>
        <v>6.7292004450160894E-5</v>
      </c>
      <c r="AV163" s="32">
        <f t="shared" si="189"/>
        <v>1.5707963267948966</v>
      </c>
      <c r="AW163" s="32" t="str">
        <f t="shared" si="165"/>
        <v>1+0.0143270456012171i</v>
      </c>
      <c r="AX163" s="32">
        <f t="shared" si="190"/>
        <v>1.0001026268516944</v>
      </c>
      <c r="AY163" s="32">
        <f t="shared" si="191"/>
        <v>1.4326065445240652E-2</v>
      </c>
      <c r="AZ163" s="32" t="str">
        <f t="shared" si="166"/>
        <v>1+0.272213866423125i</v>
      </c>
      <c r="BA163" s="32">
        <f t="shared" si="192"/>
        <v>1.0363881459535453</v>
      </c>
      <c r="BB163" s="32">
        <f t="shared" si="193"/>
        <v>0.26577412411036305</v>
      </c>
      <c r="BC163" s="60" t="str">
        <f t="shared" si="194"/>
        <v>-0.654170161151144+2.54654904846395i</v>
      </c>
      <c r="BD163" s="51">
        <f t="shared" si="195"/>
        <v>8.3965717456110252</v>
      </c>
      <c r="BE163" s="63">
        <f t="shared" si="196"/>
        <v>104.4069125282694</v>
      </c>
      <c r="BF163" s="60" t="str">
        <f t="shared" si="197"/>
        <v>17.1213174668418+47.8950666420123i</v>
      </c>
      <c r="BG163" s="66">
        <f t="shared" si="198"/>
        <v>34.128093415991835</v>
      </c>
      <c r="BH163" s="63">
        <f t="shared" si="199"/>
        <v>70.329269841388296</v>
      </c>
      <c r="BI163" s="60" t="e">
        <f t="shared" si="152"/>
        <v>#NUM!</v>
      </c>
      <c r="BJ163" s="66" t="e">
        <f t="shared" si="200"/>
        <v>#NUM!</v>
      </c>
      <c r="BK163" s="63" t="e">
        <f t="shared" si="153"/>
        <v>#NUM!</v>
      </c>
      <c r="BL163" s="51">
        <f t="shared" si="201"/>
        <v>34.128093415991835</v>
      </c>
      <c r="BM163" s="63">
        <f t="shared" si="202"/>
        <v>70.329269841388296</v>
      </c>
    </row>
    <row r="164" spans="14:65" x14ac:dyDescent="0.3">
      <c r="N164" s="11">
        <v>46</v>
      </c>
      <c r="O164" s="52">
        <f t="shared" si="154"/>
        <v>288.40315031266073</v>
      </c>
      <c r="P164" s="50" t="str">
        <f t="shared" si="155"/>
        <v>23.3035714285714</v>
      </c>
      <c r="Q164" s="18" t="str">
        <f t="shared" si="156"/>
        <v>1+0.687300015591903i</v>
      </c>
      <c r="R164" s="18">
        <f t="shared" si="167"/>
        <v>1.2134172041934423</v>
      </c>
      <c r="S164" s="18">
        <f t="shared" si="168"/>
        <v>0.60215153502531849</v>
      </c>
      <c r="T164" s="18" t="str">
        <f t="shared" si="157"/>
        <v>1+0.00320740007276221i</v>
      </c>
      <c r="U164" s="18">
        <f t="shared" si="169"/>
        <v>1.0000051436943846</v>
      </c>
      <c r="V164" s="18">
        <f t="shared" si="170"/>
        <v>3.2073890742113156E-3</v>
      </c>
      <c r="W164" s="32" t="str">
        <f t="shared" si="158"/>
        <v>1-0.00442955440055045i</v>
      </c>
      <c r="X164" s="18">
        <f t="shared" si="171"/>
        <v>1.0000098104279715</v>
      </c>
      <c r="Y164" s="18">
        <f t="shared" si="172"/>
        <v>-4.429525430199803E-3</v>
      </c>
      <c r="Z164" s="32" t="str">
        <f t="shared" si="159"/>
        <v>0.999999667294492+0.00217401019903652i</v>
      </c>
      <c r="AA164" s="18">
        <f t="shared" si="173"/>
        <v>1.0000020304526587</v>
      </c>
      <c r="AB164" s="18">
        <f t="shared" si="174"/>
        <v>2.174007497325344E-3</v>
      </c>
      <c r="AC164" s="68" t="str">
        <f t="shared" si="175"/>
        <v>15.7903003359863-10.9318168186652i</v>
      </c>
      <c r="AD164" s="66">
        <f t="shared" si="176"/>
        <v>25.668358982230881</v>
      </c>
      <c r="AE164" s="63">
        <f t="shared" si="177"/>
        <v>-34.695326293688794</v>
      </c>
      <c r="AF164" s="51" t="e">
        <f t="shared" si="178"/>
        <v>#NUM!</v>
      </c>
      <c r="AG164" s="51" t="str">
        <f t="shared" si="160"/>
        <v>1-0.962220021828666i</v>
      </c>
      <c r="AH164" s="51">
        <f t="shared" si="179"/>
        <v>1.3877562359463416</v>
      </c>
      <c r="AI164" s="51">
        <f t="shared" si="180"/>
        <v>-0.76614685091208734</v>
      </c>
      <c r="AJ164" s="51" t="str">
        <f t="shared" si="161"/>
        <v>1+0.00320740007276221i</v>
      </c>
      <c r="AK164" s="51">
        <f t="shared" si="181"/>
        <v>1.0000051436943846</v>
      </c>
      <c r="AL164" s="51">
        <f t="shared" si="182"/>
        <v>3.2073890742113156E-3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-0.000170731707317073</v>
      </c>
      <c r="AT164" s="32" t="str">
        <f t="shared" si="164"/>
        <v>0.000068859436590375i</v>
      </c>
      <c r="AU164" s="32">
        <f t="shared" si="188"/>
        <v>6.8859436590375004E-5</v>
      </c>
      <c r="AV164" s="32">
        <f t="shared" si="189"/>
        <v>1.5707963267948966</v>
      </c>
      <c r="AW164" s="32" t="str">
        <f t="shared" si="165"/>
        <v>1+0.0146607653638123i</v>
      </c>
      <c r="AX164" s="32">
        <f t="shared" si="190"/>
        <v>1.0001074632463518</v>
      </c>
      <c r="AY164" s="32">
        <f t="shared" si="191"/>
        <v>1.4659715113856298E-2</v>
      </c>
      <c r="AZ164" s="32" t="str">
        <f t="shared" si="166"/>
        <v>1+0.278554541912434i</v>
      </c>
      <c r="BA164" s="32">
        <f t="shared" si="192"/>
        <v>1.0380715933017559</v>
      </c>
      <c r="BB164" s="32">
        <f t="shared" si="193"/>
        <v>0.27166782779794113</v>
      </c>
      <c r="BC164" s="60" t="str">
        <f t="shared" si="194"/>
        <v>-0.654163834196217+2.48901407208115i</v>
      </c>
      <c r="BD164" s="51">
        <f t="shared" si="195"/>
        <v>8.2106271384744272</v>
      </c>
      <c r="BE164" s="63">
        <f t="shared" si="196"/>
        <v>104.7254801574208</v>
      </c>
      <c r="BF164" s="60" t="str">
        <f t="shared" si="197"/>
        <v>16.8800024841725+46.4534789434863i</v>
      </c>
      <c r="BG164" s="66">
        <f t="shared" si="198"/>
        <v>33.878986120705306</v>
      </c>
      <c r="BH164" s="63">
        <f t="shared" si="199"/>
        <v>70.030153863731968</v>
      </c>
      <c r="BI164" s="60" t="e">
        <f t="shared" si="152"/>
        <v>#NUM!</v>
      </c>
      <c r="BJ164" s="66" t="e">
        <f t="shared" si="200"/>
        <v>#NUM!</v>
      </c>
      <c r="BK164" s="63" t="e">
        <f t="shared" si="153"/>
        <v>#NUM!</v>
      </c>
      <c r="BL164" s="51">
        <f t="shared" si="201"/>
        <v>33.878986120705306</v>
      </c>
      <c r="BM164" s="63">
        <f t="shared" si="202"/>
        <v>70.030153863731968</v>
      </c>
    </row>
    <row r="165" spans="14:65" x14ac:dyDescent="0.3">
      <c r="N165" s="11">
        <v>47</v>
      </c>
      <c r="O165" s="52">
        <f t="shared" si="154"/>
        <v>295.12092266663871</v>
      </c>
      <c r="P165" s="50" t="str">
        <f t="shared" si="155"/>
        <v>23.3035714285714</v>
      </c>
      <c r="Q165" s="18" t="str">
        <f t="shared" si="156"/>
        <v>1+0.703309289549646i</v>
      </c>
      <c r="R165" s="18">
        <f t="shared" si="167"/>
        <v>1.2225563204886831</v>
      </c>
      <c r="S165" s="18">
        <f t="shared" si="168"/>
        <v>0.61294351282426929</v>
      </c>
      <c r="T165" s="18" t="str">
        <f t="shared" si="157"/>
        <v>1+0.00328211001789835i</v>
      </c>
      <c r="U165" s="18">
        <f t="shared" si="169"/>
        <v>1.0000053861085796</v>
      </c>
      <c r="V165" s="18">
        <f t="shared" si="170"/>
        <v>3.2820982327421652E-3</v>
      </c>
      <c r="W165" s="32" t="str">
        <f t="shared" si="158"/>
        <v>1-0.00453273197700965i</v>
      </c>
      <c r="X165" s="18">
        <f t="shared" si="171"/>
        <v>1.0000102727768228</v>
      </c>
      <c r="Y165" s="18">
        <f t="shared" si="172"/>
        <v>-4.5327009347368753E-3</v>
      </c>
      <c r="Z165" s="32" t="str">
        <f t="shared" si="159"/>
        <v>0.999999651614564+0.00222464940182096i</v>
      </c>
      <c r="AA165" s="18">
        <f t="shared" si="173"/>
        <v>1.0000021261448448</v>
      </c>
      <c r="AB165" s="18">
        <f t="shared" si="174"/>
        <v>2.2246465068856088E-3</v>
      </c>
      <c r="AC165" s="68" t="str">
        <f t="shared" si="175"/>
        <v>15.553394704158-11.019833630581i</v>
      </c>
      <c r="AD165" s="66">
        <f t="shared" si="176"/>
        <v>25.603189731670135</v>
      </c>
      <c r="AE165" s="63">
        <f t="shared" si="177"/>
        <v>-35.318193477178497</v>
      </c>
      <c r="AF165" s="51" t="e">
        <f t="shared" si="178"/>
        <v>#NUM!</v>
      </c>
      <c r="AG165" s="51" t="str">
        <f t="shared" si="160"/>
        <v>1-0.984633005369507i</v>
      </c>
      <c r="AH165" s="51">
        <f t="shared" si="179"/>
        <v>1.4033895237114276</v>
      </c>
      <c r="AI165" s="51">
        <f t="shared" si="180"/>
        <v>-0.77765532757027178</v>
      </c>
      <c r="AJ165" s="51" t="str">
        <f t="shared" si="161"/>
        <v>1+0.00328211001789835i</v>
      </c>
      <c r="AK165" s="51">
        <f t="shared" si="181"/>
        <v>1.0000053861085796</v>
      </c>
      <c r="AL165" s="51">
        <f t="shared" si="182"/>
        <v>3.2820982327421652E-3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-0.000170731707317073</v>
      </c>
      <c r="AT165" s="32" t="str">
        <f t="shared" si="164"/>
        <v>0.0000704633789153317i</v>
      </c>
      <c r="AU165" s="32">
        <f t="shared" si="188"/>
        <v>7.0463378915331694E-5</v>
      </c>
      <c r="AV165" s="32">
        <f t="shared" si="189"/>
        <v>1.5707963267948966</v>
      </c>
      <c r="AW165" s="32" t="str">
        <f t="shared" si="165"/>
        <v>1+0.0150022584582615i</v>
      </c>
      <c r="AX165" s="32">
        <f t="shared" si="190"/>
        <v>1.0001125275481997</v>
      </c>
      <c r="AY165" s="32">
        <f t="shared" si="191"/>
        <v>1.5001133101996815E-2</v>
      </c>
      <c r="AZ165" s="32" t="str">
        <f t="shared" si="166"/>
        <v>1+0.285042910706969i</v>
      </c>
      <c r="BA165" s="32">
        <f t="shared" si="192"/>
        <v>1.0398314579509031</v>
      </c>
      <c r="BB165" s="32">
        <f t="shared" si="193"/>
        <v>0.27767884379134461</v>
      </c>
      <c r="BC165" s="60" t="str">
        <f t="shared" si="194"/>
        <v>-0.654157209192259+2.43279879516194i</v>
      </c>
      <c r="BD165" s="51">
        <f t="shared" si="195"/>
        <v>8.0252960590741989</v>
      </c>
      <c r="BE165" s="63">
        <f t="shared" si="196"/>
        <v>105.05032419465812</v>
      </c>
      <c r="BF165" s="60" t="str">
        <f t="shared" si="197"/>
        <v>16.6346727062248+45.0469835104975i</v>
      </c>
      <c r="BG165" s="66">
        <f t="shared" si="198"/>
        <v>33.628485790744321</v>
      </c>
      <c r="BH165" s="63">
        <f t="shared" si="199"/>
        <v>69.73213071747962</v>
      </c>
      <c r="BI165" s="60" t="e">
        <f t="shared" si="152"/>
        <v>#NUM!</v>
      </c>
      <c r="BJ165" s="66" t="e">
        <f t="shared" si="200"/>
        <v>#NUM!</v>
      </c>
      <c r="BK165" s="63" t="e">
        <f t="shared" si="153"/>
        <v>#NUM!</v>
      </c>
      <c r="BL165" s="51">
        <f t="shared" si="201"/>
        <v>33.628485790744321</v>
      </c>
      <c r="BM165" s="63">
        <f t="shared" si="202"/>
        <v>69.73213071747962</v>
      </c>
    </row>
    <row r="166" spans="14:65" x14ac:dyDescent="0.3">
      <c r="N166" s="11">
        <v>48</v>
      </c>
      <c r="O166" s="52">
        <f t="shared" si="154"/>
        <v>301.99517204020168</v>
      </c>
      <c r="P166" s="50" t="str">
        <f t="shared" si="155"/>
        <v>23.3035714285714</v>
      </c>
      <c r="Q166" s="18" t="str">
        <f t="shared" si="156"/>
        <v>1+0.719691467402109i</v>
      </c>
      <c r="R166" s="18">
        <f t="shared" si="167"/>
        <v>1.2320534924472235</v>
      </c>
      <c r="S166" s="18">
        <f t="shared" si="168"/>
        <v>0.62381982738476416</v>
      </c>
      <c r="T166" s="18" t="str">
        <f t="shared" si="157"/>
        <v>1+0.00335856018120984i</v>
      </c>
      <c r="U166" s="18">
        <f t="shared" si="169"/>
        <v>1.0000056399473409</v>
      </c>
      <c r="V166" s="18">
        <f t="shared" si="170"/>
        <v>3.3585475531913195E-3</v>
      </c>
      <c r="W166" s="32" t="str">
        <f t="shared" si="158"/>
        <v>1-0.00463831286796086i</v>
      </c>
      <c r="X166" s="18">
        <f t="shared" si="171"/>
        <v>1.000010756915275</v>
      </c>
      <c r="Y166" s="18">
        <f t="shared" si="172"/>
        <v>-4.6382796055856271E-3</v>
      </c>
      <c r="Z166" s="32" t="str">
        <f t="shared" si="159"/>
        <v>0.999999635195664+0.00227646814316496i</v>
      </c>
      <c r="AA166" s="18">
        <f t="shared" si="173"/>
        <v>1.0000022263468555</v>
      </c>
      <c r="AB166" s="18">
        <f t="shared" si="174"/>
        <v>2.2764650411862147E-3</v>
      </c>
      <c r="AC166" s="68" t="str">
        <f t="shared" si="175"/>
        <v>15.3127720268177-11.1033444626249i</v>
      </c>
      <c r="AD166" s="66">
        <f t="shared" si="176"/>
        <v>25.535981493569132</v>
      </c>
      <c r="AE166" s="63">
        <f t="shared" si="177"/>
        <v>-35.945998370305368</v>
      </c>
      <c r="AF166" s="51" t="e">
        <f t="shared" si="178"/>
        <v>#NUM!</v>
      </c>
      <c r="AG166" s="51" t="str">
        <f t="shared" si="160"/>
        <v>1-1.00756805436295i</v>
      </c>
      <c r="AH166" s="51">
        <f t="shared" si="179"/>
        <v>1.4195750716931954</v>
      </c>
      <c r="AI166" s="51">
        <f t="shared" si="180"/>
        <v>-0.78916790783857094</v>
      </c>
      <c r="AJ166" s="51" t="str">
        <f t="shared" si="161"/>
        <v>1+0.00335856018120984i</v>
      </c>
      <c r="AK166" s="51">
        <f t="shared" si="181"/>
        <v>1.0000056399473409</v>
      </c>
      <c r="AL166" s="51">
        <f t="shared" si="182"/>
        <v>3.3585475531913195E-3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-0.000170731707317073</v>
      </c>
      <c r="AT166" s="32" t="str">
        <f t="shared" si="164"/>
        <v>0.0000721046818564823i</v>
      </c>
      <c r="AU166" s="32">
        <f t="shared" si="188"/>
        <v>7.21046818564823E-5</v>
      </c>
      <c r="AV166" s="32">
        <f t="shared" si="189"/>
        <v>1.5707963267948966</v>
      </c>
      <c r="AW166" s="32" t="str">
        <f t="shared" si="165"/>
        <v>1+0.0153517059487236i</v>
      </c>
      <c r="AX166" s="32">
        <f t="shared" si="190"/>
        <v>1.0001178304957552</v>
      </c>
      <c r="AY166" s="32">
        <f t="shared" si="191"/>
        <v>1.535050011543353E-2</v>
      </c>
      <c r="AZ166" s="32" t="str">
        <f t="shared" si="166"/>
        <v>1+0.29168241302575i</v>
      </c>
      <c r="BA166" s="32">
        <f t="shared" si="192"/>
        <v>1.0416710757568937</v>
      </c>
      <c r="BB166" s="32">
        <f t="shared" si="193"/>
        <v>0.28380862099143511</v>
      </c>
      <c r="BC166" s="60" t="str">
        <f t="shared" si="194"/>
        <v>-0.654150272105306+2.37787341099732i</v>
      </c>
      <c r="BD166" s="51">
        <f t="shared" si="195"/>
        <v>7.840603068129683</v>
      </c>
      <c r="BE166" s="63">
        <f t="shared" si="196"/>
        <v>105.38151730220783</v>
      </c>
      <c r="BF166" s="60" t="str">
        <f t="shared" si="197"/>
        <v>16.3854935827908+43.6750892527384i</v>
      </c>
      <c r="BG166" s="66">
        <f t="shared" si="198"/>
        <v>33.376584561698827</v>
      </c>
      <c r="BH166" s="63">
        <f t="shared" si="199"/>
        <v>69.435518931902422</v>
      </c>
      <c r="BI166" s="60" t="e">
        <f t="shared" si="152"/>
        <v>#NUM!</v>
      </c>
      <c r="BJ166" s="66" t="e">
        <f t="shared" si="200"/>
        <v>#NUM!</v>
      </c>
      <c r="BK166" s="63" t="e">
        <f t="shared" si="153"/>
        <v>#NUM!</v>
      </c>
      <c r="BL166" s="51">
        <f t="shared" si="201"/>
        <v>33.376584561698827</v>
      </c>
      <c r="BM166" s="63">
        <f t="shared" si="202"/>
        <v>69.435518931902422</v>
      </c>
    </row>
    <row r="167" spans="14:65" x14ac:dyDescent="0.3">
      <c r="N167" s="11">
        <v>49</v>
      </c>
      <c r="O167" s="52">
        <f t="shared" si="154"/>
        <v>309.02954325135937</v>
      </c>
      <c r="P167" s="50" t="str">
        <f t="shared" si="155"/>
        <v>23.3035714285714</v>
      </c>
      <c r="Q167" s="18" t="str">
        <f t="shared" si="156"/>
        <v>1+0.73645523519683i</v>
      </c>
      <c r="R167" s="18">
        <f t="shared" si="167"/>
        <v>1.241920413492273</v>
      </c>
      <c r="S167" s="18">
        <f t="shared" si="168"/>
        <v>0.6347759528078909</v>
      </c>
      <c r="T167" s="18" t="str">
        <f t="shared" si="157"/>
        <v>1+0.00343679109758521i</v>
      </c>
      <c r="U167" s="18">
        <f t="shared" si="169"/>
        <v>1.0000059057490853</v>
      </c>
      <c r="V167" s="18">
        <f t="shared" si="170"/>
        <v>3.4367775664238941E-3</v>
      </c>
      <c r="W167" s="32" t="str">
        <f t="shared" si="158"/>
        <v>1-0.00474635305378999i</v>
      </c>
      <c r="X167" s="18">
        <f t="shared" si="171"/>
        <v>1.0000112638702181</v>
      </c>
      <c r="Y167" s="18">
        <f t="shared" si="172"/>
        <v>-4.7463174125344718E-3</v>
      </c>
      <c r="Z167" s="32" t="str">
        <f t="shared" si="159"/>
        <v>0.999999618002966+0.00232949389805108i</v>
      </c>
      <c r="AA167" s="18">
        <f t="shared" si="173"/>
        <v>1.0000023312712321</v>
      </c>
      <c r="AB167" s="18">
        <f t="shared" si="174"/>
        <v>2.3294905742213836E-3</v>
      </c>
      <c r="AC167" s="68" t="str">
        <f t="shared" si="175"/>
        <v>15.0686051345609-11.1821566149532i</v>
      </c>
      <c r="AD167" s="66">
        <f t="shared" si="176"/>
        <v>25.466703263806892</v>
      </c>
      <c r="AE167" s="63">
        <f t="shared" si="177"/>
        <v>-36.578484116892298</v>
      </c>
      <c r="AF167" s="51" t="e">
        <f t="shared" si="178"/>
        <v>#NUM!</v>
      </c>
      <c r="AG167" s="51" t="str">
        <f t="shared" si="160"/>
        <v>1-1.03103732927556i</v>
      </c>
      <c r="AH167" s="51">
        <f t="shared" si="179"/>
        <v>1.4363279480535354</v>
      </c>
      <c r="AI167" s="51">
        <f t="shared" si="180"/>
        <v>-0.80067848994391144</v>
      </c>
      <c r="AJ167" s="51" t="str">
        <f t="shared" si="161"/>
        <v>1+0.00343679109758521i</v>
      </c>
      <c r="AK167" s="51">
        <f t="shared" si="181"/>
        <v>1.0000059057490853</v>
      </c>
      <c r="AL167" s="51">
        <f t="shared" si="182"/>
        <v>3.4367775664238941E-3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-0.000170731707317073</v>
      </c>
      <c r="AT167" s="32" t="str">
        <f t="shared" si="164"/>
        <v>0.0000737842156543717i</v>
      </c>
      <c r="AU167" s="32">
        <f t="shared" si="188"/>
        <v>7.3784215654371704E-5</v>
      </c>
      <c r="AV167" s="32">
        <f t="shared" si="189"/>
        <v>1.5707963267948966</v>
      </c>
      <c r="AW167" s="32" t="str">
        <f t="shared" si="165"/>
        <v>1+0.0157092931168837i</v>
      </c>
      <c r="AX167" s="32">
        <f t="shared" si="190"/>
        <v>1.0001233833333925</v>
      </c>
      <c r="AY167" s="32">
        <f t="shared" si="191"/>
        <v>1.570800105184339E-2</v>
      </c>
      <c r="AZ167" s="32" t="str">
        <f t="shared" si="166"/>
        <v>1+0.29847656922079i</v>
      </c>
      <c r="BA167" s="32">
        <f t="shared" si="192"/>
        <v>1.0435939164128032</v>
      </c>
      <c r="BB167" s="32">
        <f t="shared" si="193"/>
        <v>0.29005856620482529</v>
      </c>
      <c r="BC167" s="60" t="str">
        <f t="shared" si="194"/>
        <v>-0.654143008241209+2.3242087967519i</v>
      </c>
      <c r="BD167" s="51">
        <f t="shared" si="195"/>
        <v>7.6565735131640356</v>
      </c>
      <c r="BE167" s="63">
        <f t="shared" si="196"/>
        <v>105.71912949029475</v>
      </c>
      <c r="BF167" s="60" t="str">
        <f t="shared" si="197"/>
        <v>16.1326440784111+42.3373141752571i</v>
      </c>
      <c r="BG167" s="66">
        <f t="shared" si="198"/>
        <v>33.123276776970926</v>
      </c>
      <c r="BH167" s="63">
        <f t="shared" si="199"/>
        <v>69.140645373402435</v>
      </c>
      <c r="BI167" s="60" t="e">
        <f t="shared" si="152"/>
        <v>#NUM!</v>
      </c>
      <c r="BJ167" s="66" t="e">
        <f t="shared" si="200"/>
        <v>#NUM!</v>
      </c>
      <c r="BK167" s="63" t="e">
        <f t="shared" si="153"/>
        <v>#NUM!</v>
      </c>
      <c r="BL167" s="51">
        <f t="shared" si="201"/>
        <v>33.123276776970926</v>
      </c>
      <c r="BM167" s="63">
        <f t="shared" si="202"/>
        <v>69.140645373402435</v>
      </c>
    </row>
    <row r="168" spans="14:65" x14ac:dyDescent="0.3">
      <c r="N168" s="11">
        <v>50</v>
      </c>
      <c r="O168" s="52">
        <f t="shared" si="154"/>
        <v>316.22776601683825</v>
      </c>
      <c r="P168" s="50" t="str">
        <f t="shared" si="155"/>
        <v>23.3035714285714</v>
      </c>
      <c r="Q168" s="18" t="str">
        <f t="shared" si="156"/>
        <v>1+0.75360948130539i</v>
      </c>
      <c r="R168" s="18">
        <f t="shared" si="167"/>
        <v>1.2521690182692506</v>
      </c>
      <c r="S168" s="18">
        <f t="shared" si="168"/>
        <v>0.64580717735233939</v>
      </c>
      <c r="T168" s="18" t="str">
        <f t="shared" si="157"/>
        <v>1+0.00351684424609182i</v>
      </c>
      <c r="U168" s="18">
        <f t="shared" si="169"/>
        <v>1.0000061840776042</v>
      </c>
      <c r="V168" s="18">
        <f t="shared" si="170"/>
        <v>3.5168297471960906E-3</v>
      </c>
      <c r="W168" s="32" t="str">
        <f t="shared" si="158"/>
        <v>1-0.00485690981883365i</v>
      </c>
      <c r="X168" s="18">
        <f t="shared" si="171"/>
        <v>1.0000117947169365</v>
      </c>
      <c r="Y168" s="18">
        <f t="shared" si="172"/>
        <v>-4.856871628564627E-3</v>
      </c>
      <c r="Z168" s="32" t="str">
        <f t="shared" si="159"/>
        <v>0.9999996+0.00238375478143644i</v>
      </c>
      <c r="AA168" s="18">
        <f t="shared" si="173"/>
        <v>1.0000024411405295</v>
      </c>
      <c r="AB168" s="18">
        <f t="shared" si="174"/>
        <v>2.3837512198892205E-3</v>
      </c>
      <c r="AC168" s="68" t="str">
        <f t="shared" si="175"/>
        <v>14.821079605524-11.2560849401944i</v>
      </c>
      <c r="AD168" s="66">
        <f t="shared" si="176"/>
        <v>25.395325569524925</v>
      </c>
      <c r="AE168" s="63">
        <f t="shared" si="177"/>
        <v>-37.21538327002763</v>
      </c>
      <c r="AF168" s="51" t="e">
        <f t="shared" si="178"/>
        <v>#NUM!</v>
      </c>
      <c r="AG168" s="51" t="str">
        <f t="shared" si="160"/>
        <v>1-1.05505327382755i</v>
      </c>
      <c r="AH168" s="51">
        <f t="shared" si="179"/>
        <v>1.4536634447540571</v>
      </c>
      <c r="AI168" s="51">
        <f t="shared" si="180"/>
        <v>-0.81218097740534811</v>
      </c>
      <c r="AJ168" s="51" t="str">
        <f t="shared" si="161"/>
        <v>1+0.00351684424609182i</v>
      </c>
      <c r="AK168" s="51">
        <f t="shared" si="181"/>
        <v>1.0000061840776042</v>
      </c>
      <c r="AL168" s="51">
        <f t="shared" si="182"/>
        <v>3.5168297471960906E-3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-0.000170731707317073</v>
      </c>
      <c r="AT168" s="32" t="str">
        <f t="shared" si="164"/>
        <v>0.0000755028708200504i</v>
      </c>
      <c r="AU168" s="32">
        <f t="shared" si="188"/>
        <v>7.5502870820050397E-5</v>
      </c>
      <c r="AV168" s="32">
        <f t="shared" si="189"/>
        <v>1.5707963267948966</v>
      </c>
      <c r="AW168" s="32" t="str">
        <f t="shared" si="165"/>
        <v>1+0.0160752095601913i</v>
      </c>
      <c r="AX168" s="32">
        <f t="shared" si="190"/>
        <v>1.0001291978351616</v>
      </c>
      <c r="AY168" s="32">
        <f t="shared" si="191"/>
        <v>1.6073825097216173E-2</v>
      </c>
      <c r="AZ168" s="32" t="str">
        <f t="shared" si="166"/>
        <v>1+0.305428981643635i</v>
      </c>
      <c r="BA168" s="32">
        <f t="shared" si="192"/>
        <v>1.0456035878036514</v>
      </c>
      <c r="BB168" s="32">
        <f t="shared" si="193"/>
        <v>0.29643003942123936</v>
      </c>
      <c r="BC168" s="60" t="str">
        <f t="shared" si="194"/>
        <v>-0.654135402214645+2.27177649801927i</v>
      </c>
      <c r="BD168" s="51">
        <f t="shared" si="195"/>
        <v>7.4732335363346092</v>
      </c>
      <c r="BE168" s="63">
        <f t="shared" si="196"/>
        <v>106.06322784103175</v>
      </c>
      <c r="BF168" s="60" t="str">
        <f t="shared" si="197"/>
        <v>15.8763163578276+41.0331839728184i</v>
      </c>
      <c r="BG168" s="66">
        <f t="shared" si="198"/>
        <v>32.868559105859532</v>
      </c>
      <c r="BH168" s="63">
        <f t="shared" si="199"/>
        <v>68.847844571004089</v>
      </c>
      <c r="BI168" s="60" t="e">
        <f t="shared" si="152"/>
        <v>#NUM!</v>
      </c>
      <c r="BJ168" s="66" t="e">
        <f t="shared" si="200"/>
        <v>#NUM!</v>
      </c>
      <c r="BK168" s="63" t="e">
        <f t="shared" si="153"/>
        <v>#NUM!</v>
      </c>
      <c r="BL168" s="51">
        <f t="shared" si="201"/>
        <v>32.868559105859532</v>
      </c>
      <c r="BM168" s="63">
        <f t="shared" si="202"/>
        <v>68.847844571004089</v>
      </c>
    </row>
    <row r="169" spans="14:65" x14ac:dyDescent="0.3">
      <c r="N169" s="11">
        <v>51</v>
      </c>
      <c r="O169" s="52">
        <f t="shared" si="154"/>
        <v>323.59365692962825</v>
      </c>
      <c r="P169" s="50" t="str">
        <f t="shared" si="155"/>
        <v>23.3035714285714</v>
      </c>
      <c r="Q169" s="18" t="str">
        <f t="shared" si="156"/>
        <v>1+0.771163301136139i</v>
      </c>
      <c r="R169" s="18">
        <f t="shared" si="167"/>
        <v>1.262811481187587</v>
      </c>
      <c r="S169" s="18">
        <f t="shared" si="168"/>
        <v>0.65690861135162548</v>
      </c>
      <c r="T169" s="18" t="str">
        <f t="shared" si="157"/>
        <v>1+0.00359876207196865i</v>
      </c>
      <c r="U169" s="18">
        <f t="shared" si="169"/>
        <v>1.0000064755232592</v>
      </c>
      <c r="V169" s="18">
        <f t="shared" si="170"/>
        <v>3.5987465361274045E-3</v>
      </c>
      <c r="W169" s="32" t="str">
        <f t="shared" si="158"/>
        <v>1-0.00497004178175206i</v>
      </c>
      <c r="X169" s="18">
        <f t="shared" si="171"/>
        <v>1.0000123505813878</v>
      </c>
      <c r="Y169" s="18">
        <f t="shared" si="172"/>
        <v>-4.9700008601688264E-3</v>
      </c>
      <c r="Z169" s="32" t="str">
        <f t="shared" si="159"/>
        <v>0.999999581148581+0.00243927956315965i</v>
      </c>
      <c r="AA169" s="18">
        <f t="shared" si="173"/>
        <v>1.0000025561877954</v>
      </c>
      <c r="AB169" s="18">
        <f t="shared" si="174"/>
        <v>2.4392757468935699E-3</v>
      </c>
      <c r="AC169" s="68" t="str">
        <f t="shared" si="175"/>
        <v>14.570393370961-11.3249528403474i</v>
      </c>
      <c r="AD169" s="66">
        <f t="shared" si="176"/>
        <v>25.321820576401738</v>
      </c>
      <c r="AE169" s="63">
        <f t="shared" si="177"/>
        <v>-37.856418247020166</v>
      </c>
      <c r="AF169" s="51" t="e">
        <f t="shared" si="178"/>
        <v>#NUM!</v>
      </c>
      <c r="AG169" s="51" t="str">
        <f t="shared" si="160"/>
        <v>1-1.0796286215906i</v>
      </c>
      <c r="AH169" s="51">
        <f t="shared" si="179"/>
        <v>1.4715970781968883</v>
      </c>
      <c r="AI169" s="51">
        <f t="shared" si="180"/>
        <v>-0.82366929515805254</v>
      </c>
      <c r="AJ169" s="51" t="str">
        <f t="shared" si="161"/>
        <v>1+0.00359876207196865i</v>
      </c>
      <c r="AK169" s="51">
        <f t="shared" si="181"/>
        <v>1.0000064755232592</v>
      </c>
      <c r="AL169" s="51">
        <f t="shared" si="182"/>
        <v>3.5987465361274045E-3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-0.000170731707317073</v>
      </c>
      <c r="AT169" s="32" t="str">
        <f t="shared" si="164"/>
        <v>0.0000772615586072366i</v>
      </c>
      <c r="AU169" s="32">
        <f t="shared" si="188"/>
        <v>7.7261558607236603E-5</v>
      </c>
      <c r="AV169" s="32">
        <f t="shared" si="189"/>
        <v>1.5707963267948966</v>
      </c>
      <c r="AW169" s="32" t="str">
        <f t="shared" si="165"/>
        <v>1+0.0164496492923883i</v>
      </c>
      <c r="AX169" s="32">
        <f t="shared" si="190"/>
        <v>1.0001352863297257</v>
      </c>
      <c r="AY169" s="32">
        <f t="shared" si="191"/>
        <v>1.6448165824420668E-2</v>
      </c>
      <c r="AZ169" s="32" t="str">
        <f t="shared" si="166"/>
        <v>1+0.312543336555379i</v>
      </c>
      <c r="BA169" s="32">
        <f t="shared" si="192"/>
        <v>1.0477038404173047</v>
      </c>
      <c r="BB169" s="32">
        <f t="shared" si="193"/>
        <v>0.30292434887780184</v>
      </c>
      <c r="BC169" s="60" t="str">
        <f t="shared" si="194"/>
        <v>-0.654127437916669+2.22054871373182i</v>
      </c>
      <c r="BD169" s="51">
        <f t="shared" si="195"/>
        <v>7.2906100806325664</v>
      </c>
      <c r="BE169" s="63">
        <f t="shared" si="196"/>
        <v>106.41387621997592</v>
      </c>
      <c r="BF169" s="60" t="str">
        <f t="shared" si="197"/>
        <v>15.6167153775222+39.7622306444376i</v>
      </c>
      <c r="BG169" s="66">
        <f t="shared" si="198"/>
        <v>32.612430657034295</v>
      </c>
      <c r="BH169" s="63">
        <f t="shared" si="199"/>
        <v>68.55745797295576</v>
      </c>
      <c r="BI169" s="60" t="e">
        <f t="shared" si="152"/>
        <v>#NUM!</v>
      </c>
      <c r="BJ169" s="66" t="e">
        <f t="shared" si="200"/>
        <v>#NUM!</v>
      </c>
      <c r="BK169" s="63" t="e">
        <f t="shared" si="153"/>
        <v>#NUM!</v>
      </c>
      <c r="BL169" s="51">
        <f t="shared" si="201"/>
        <v>32.612430657034295</v>
      </c>
      <c r="BM169" s="63">
        <f t="shared" si="202"/>
        <v>68.55745797295576</v>
      </c>
    </row>
    <row r="170" spans="14:65" x14ac:dyDescent="0.3">
      <c r="N170" s="11">
        <v>52</v>
      </c>
      <c r="O170" s="52">
        <f t="shared" si="154"/>
        <v>331.13112148259137</v>
      </c>
      <c r="P170" s="50" t="str">
        <f t="shared" si="155"/>
        <v>23.3035714285714</v>
      </c>
      <c r="Q170" s="18" t="str">
        <f t="shared" si="156"/>
        <v>1+0.789126001956707i</v>
      </c>
      <c r="R170" s="18">
        <f t="shared" si="167"/>
        <v>1.2738602148446967</v>
      </c>
      <c r="S170" s="18">
        <f t="shared" si="168"/>
        <v>0.66807519610205246</v>
      </c>
      <c r="T170" s="18" t="str">
        <f t="shared" si="157"/>
        <v>1+0.0036825880091313i</v>
      </c>
      <c r="U170" s="18">
        <f t="shared" si="169"/>
        <v>1.0000067807042334</v>
      </c>
      <c r="V170" s="18">
        <f t="shared" si="170"/>
        <v>3.6825713621835786E-3</v>
      </c>
      <c r="W170" s="32" t="str">
        <f t="shared" si="158"/>
        <v>1-0.00508580892660945i</v>
      </c>
      <c r="X170" s="18">
        <f t="shared" si="171"/>
        <v>1.0000129326425924</v>
      </c>
      <c r="Y170" s="18">
        <f t="shared" si="172"/>
        <v>-5.0857650783736399E-3</v>
      </c>
      <c r="Z170" s="32" t="str">
        <f t="shared" si="159"/>
        <v>0.999999561408722+0.00249609768319494i</v>
      </c>
      <c r="AA170" s="18">
        <f t="shared" si="173"/>
        <v>1.000002676657058</v>
      </c>
      <c r="AB170" s="18">
        <f t="shared" si="174"/>
        <v>2.4960935939927474E-3</v>
      </c>
      <c r="AC170" s="68" t="str">
        <f t="shared" si="175"/>
        <v>14.3167562299209-11.3885932428736i</v>
      </c>
      <c r="AD170" s="66">
        <f t="shared" si="176"/>
        <v>25.246162192171781</v>
      </c>
      <c r="AE170" s="63">
        <f t="shared" si="177"/>
        <v>-38.501301840004899</v>
      </c>
      <c r="AF170" s="51" t="e">
        <f t="shared" si="178"/>
        <v>#NUM!</v>
      </c>
      <c r="AG170" s="51" t="str">
        <f t="shared" si="160"/>
        <v>1-1.10477640273939i</v>
      </c>
      <c r="AH170" s="51">
        <f t="shared" si="179"/>
        <v>1.4901445903165862</v>
      </c>
      <c r="AI170" s="51">
        <f t="shared" si="180"/>
        <v>-0.83513740553928273</v>
      </c>
      <c r="AJ170" s="51" t="str">
        <f t="shared" si="161"/>
        <v>1+0.0036825880091313i</v>
      </c>
      <c r="AK170" s="51">
        <f t="shared" si="181"/>
        <v>1.0000067807042334</v>
      </c>
      <c r="AL170" s="51">
        <f t="shared" si="182"/>
        <v>3.6825713621835786E-3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-0.000170731707317073</v>
      </c>
      <c r="AT170" s="32" t="str">
        <f t="shared" si="164"/>
        <v>0.000079061211495474i</v>
      </c>
      <c r="AU170" s="32">
        <f t="shared" si="188"/>
        <v>7.9061211495474001E-5</v>
      </c>
      <c r="AV170" s="32">
        <f t="shared" si="189"/>
        <v>1.5707963267948966</v>
      </c>
      <c r="AW170" s="32" t="str">
        <f t="shared" si="165"/>
        <v>1+0.0168328108463771i</v>
      </c>
      <c r="AX170" s="32">
        <f t="shared" si="190"/>
        <v>1.0001416617264727</v>
      </c>
      <c r="AY170" s="32">
        <f t="shared" si="191"/>
        <v>1.6831221293970852E-2</v>
      </c>
      <c r="AZ170" s="32" t="str">
        <f t="shared" si="166"/>
        <v>1+0.319823406081166i</v>
      </c>
      <c r="BA170" s="32">
        <f t="shared" si="192"/>
        <v>1.0498985718046092</v>
      </c>
      <c r="BB170" s="32">
        <f t="shared" si="193"/>
        <v>0.30954274591205289</v>
      </c>
      <c r="BC170" s="60" t="str">
        <f t="shared" si="194"/>
        <v>-0.654119098480756+2.17049828141643i</v>
      </c>
      <c r="BD170" s="51">
        <f t="shared" si="195"/>
        <v>7.1087308942763352</v>
      </c>
      <c r="BE170" s="63">
        <f t="shared" si="196"/>
        <v>106.77113497545582</v>
      </c>
      <c r="BF170" s="60" t="str">
        <f t="shared" si="197"/>
        <v>15.3540583831233+38.5239911374938i</v>
      </c>
      <c r="BG170" s="66">
        <f t="shared" si="198"/>
        <v>32.354893086448115</v>
      </c>
      <c r="BH170" s="63">
        <f t="shared" si="199"/>
        <v>68.269833135450952</v>
      </c>
      <c r="BI170" s="60" t="e">
        <f t="shared" si="152"/>
        <v>#NUM!</v>
      </c>
      <c r="BJ170" s="66" t="e">
        <f t="shared" si="200"/>
        <v>#NUM!</v>
      </c>
      <c r="BK170" s="63" t="e">
        <f t="shared" si="153"/>
        <v>#NUM!</v>
      </c>
      <c r="BL170" s="51">
        <f t="shared" si="201"/>
        <v>32.354893086448115</v>
      </c>
      <c r="BM170" s="63">
        <f t="shared" si="202"/>
        <v>68.269833135450952</v>
      </c>
    </row>
    <row r="171" spans="14:65" x14ac:dyDescent="0.3">
      <c r="N171" s="11">
        <v>53</v>
      </c>
      <c r="O171" s="52">
        <f t="shared" si="154"/>
        <v>338.84415613920277</v>
      </c>
      <c r="P171" s="50" t="str">
        <f t="shared" si="155"/>
        <v>23.3035714285714</v>
      </c>
      <c r="Q171" s="18" t="str">
        <f t="shared" si="156"/>
        <v>1+0.807507107828823i</v>
      </c>
      <c r="R171" s="18">
        <f t="shared" si="167"/>
        <v>1.2853278683643603</v>
      </c>
      <c r="S171" s="18">
        <f t="shared" si="168"/>
        <v>0.67930171369629322</v>
      </c>
      <c r="T171" s="18" t="str">
        <f t="shared" si="157"/>
        <v>1+0.00376836650320118i</v>
      </c>
      <c r="U171" s="18">
        <f t="shared" si="169"/>
        <v>1.0000071002678443</v>
      </c>
      <c r="V171" s="18">
        <f t="shared" si="170"/>
        <v>3.7683486656821634E-3</v>
      </c>
      <c r="W171" s="32" t="str">
        <f t="shared" si="158"/>
        <v>1-0.00520427263467833i</v>
      </c>
      <c r="X171" s="18">
        <f t="shared" si="171"/>
        <v>1.0000135421351333</v>
      </c>
      <c r="Y171" s="18">
        <f t="shared" si="172"/>
        <v>-5.2042256504815235E-3</v>
      </c>
      <c r="Z171" s="32" t="str">
        <f t="shared" si="159"/>
        <v>0.999999540738551+0.0025542392672616i</v>
      </c>
      <c r="AA171" s="18">
        <f t="shared" si="173"/>
        <v>1.0000028028038457</v>
      </c>
      <c r="AB171" s="18">
        <f t="shared" si="174"/>
        <v>2.5542348856031683E-3</v>
      </c>
      <c r="AC171" s="68" t="str">
        <f t="shared" si="175"/>
        <v>14.0603892738812-11.4468495465414i</v>
      </c>
      <c r="AD171" s="66">
        <f t="shared" si="176"/>
        <v>25.168326165615099</v>
      </c>
      <c r="AE171" s="63">
        <f t="shared" si="177"/>
        <v>-39.149737780760923</v>
      </c>
      <c r="AF171" s="51" t="e">
        <f t="shared" si="178"/>
        <v>#NUM!</v>
      </c>
      <c r="AG171" s="51" t="str">
        <f t="shared" si="160"/>
        <v>1-1.13050995096036i</v>
      </c>
      <c r="AH171" s="51">
        <f t="shared" si="179"/>
        <v>1.5093219501552328</v>
      </c>
      <c r="AI171" s="51">
        <f t="shared" si="180"/>
        <v>-0.84657932403408087</v>
      </c>
      <c r="AJ171" s="51" t="str">
        <f t="shared" si="161"/>
        <v>1+0.00376836650320118i</v>
      </c>
      <c r="AK171" s="51">
        <f t="shared" si="181"/>
        <v>1.0000071002678443</v>
      </c>
      <c r="AL171" s="51">
        <f t="shared" si="182"/>
        <v>3.7683486656821634E-3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-0.000170731707317073</v>
      </c>
      <c r="AT171" s="32" t="str">
        <f t="shared" si="164"/>
        <v>0.0000809027836845452i</v>
      </c>
      <c r="AU171" s="32">
        <f t="shared" si="188"/>
        <v>8.0902783684545202E-5</v>
      </c>
      <c r="AV171" s="32">
        <f t="shared" si="189"/>
        <v>1.5707963267948966</v>
      </c>
      <c r="AW171" s="32" t="str">
        <f t="shared" si="165"/>
        <v>1+0.0172248973794851i</v>
      </c>
      <c r="AX171" s="32">
        <f t="shared" si="190"/>
        <v>1.0001483375428535</v>
      </c>
      <c r="AY171" s="32">
        <f t="shared" si="191"/>
        <v>1.7223194157038352E-2</v>
      </c>
      <c r="AZ171" s="32" t="str">
        <f t="shared" si="166"/>
        <v>1+0.327273050210217i</v>
      </c>
      <c r="BA171" s="32">
        <f t="shared" si="192"/>
        <v>1.052191831081148</v>
      </c>
      <c r="BB171" s="32">
        <f t="shared" si="193"/>
        <v>0.31628641960693299</v>
      </c>
      <c r="BC171" s="60" t="str">
        <f t="shared" si="194"/>
        <v>-0.654110366247231+2.12159866278875i</v>
      </c>
      <c r="BD171" s="51">
        <f t="shared" si="195"/>
        <v>6.9276245331200421</v>
      </c>
      <c r="BE171" s="63">
        <f t="shared" si="196"/>
        <v>107.13506062584847</v>
      </c>
      <c r="BF171" s="60" t="str">
        <f t="shared" si="197"/>
        <v>15.0885743135692+37.3180060310208i</v>
      </c>
      <c r="BG171" s="66">
        <f t="shared" si="198"/>
        <v>32.095950698735145</v>
      </c>
      <c r="BH171" s="63">
        <f t="shared" si="199"/>
        <v>67.985322845087538</v>
      </c>
      <c r="BI171" s="60" t="e">
        <f t="shared" si="152"/>
        <v>#NUM!</v>
      </c>
      <c r="BJ171" s="66" t="e">
        <f t="shared" si="200"/>
        <v>#NUM!</v>
      </c>
      <c r="BK171" s="63" t="e">
        <f t="shared" si="153"/>
        <v>#NUM!</v>
      </c>
      <c r="BL171" s="51">
        <f t="shared" si="201"/>
        <v>32.095950698735145</v>
      </c>
      <c r="BM171" s="63">
        <f t="shared" si="202"/>
        <v>67.985322845087538</v>
      </c>
    </row>
    <row r="172" spans="14:65" x14ac:dyDescent="0.3">
      <c r="N172" s="11">
        <v>54</v>
      </c>
      <c r="O172" s="52">
        <f t="shared" si="154"/>
        <v>346.73685045253183</v>
      </c>
      <c r="P172" s="50" t="str">
        <f t="shared" si="155"/>
        <v>23.3035714285714</v>
      </c>
      <c r="Q172" s="18" t="str">
        <f t="shared" si="156"/>
        <v>1+0.826316364658135i</v>
      </c>
      <c r="R172" s="18">
        <f t="shared" si="167"/>
        <v>1.2972273256842208</v>
      </c>
      <c r="S172" s="18">
        <f t="shared" si="168"/>
        <v>0.69058279776824261</v>
      </c>
      <c r="T172" s="18" t="str">
        <f t="shared" si="157"/>
        <v>1+0.0038561430350713i</v>
      </c>
      <c r="U172" s="18">
        <f t="shared" si="169"/>
        <v>1.0000074348919146</v>
      </c>
      <c r="V172" s="18">
        <f t="shared" si="170"/>
        <v>3.8561239218329909E-3</v>
      </c>
      <c r="W172" s="32" t="str">
        <f t="shared" si="158"/>
        <v>1-0.00532549571698484i</v>
      </c>
      <c r="X172" s="18">
        <f t="shared" si="171"/>
        <v>1.0000141803517746</v>
      </c>
      <c r="Y172" s="18">
        <f t="shared" si="172"/>
        <v>-5.3254453725494772E-3</v>
      </c>
      <c r="Z172" s="32" t="str">
        <f t="shared" si="159"/>
        <v>0.999999519094226+0.00261373514279712i</v>
      </c>
      <c r="AA172" s="18">
        <f t="shared" si="173"/>
        <v>1.0000029348957333</v>
      </c>
      <c r="AB172" s="18">
        <f t="shared" si="174"/>
        <v>2.6137304477662597E-3</v>
      </c>
      <c r="AC172" s="68" t="str">
        <f t="shared" si="175"/>
        <v>13.8015242232972-11.4995765275501i</v>
      </c>
      <c r="AD172" s="66">
        <f t="shared" si="176"/>
        <v>25.088290180256987</v>
      </c>
      <c r="AE172" s="63">
        <f t="shared" si="177"/>
        <v>-39.801421357772803</v>
      </c>
      <c r="AF172" s="51" t="e">
        <f t="shared" si="178"/>
        <v>#NUM!</v>
      </c>
      <c r="AG172" s="51" t="str">
        <f t="shared" si="160"/>
        <v>1-1.15684291052139i</v>
      </c>
      <c r="AH172" s="51">
        <f t="shared" si="179"/>
        <v>1.5291453559500485</v>
      </c>
      <c r="AI172" s="51">
        <f t="shared" si="180"/>
        <v>-0.8579891346813604</v>
      </c>
      <c r="AJ172" s="51" t="str">
        <f t="shared" si="161"/>
        <v>1+0.0038561430350713i</v>
      </c>
      <c r="AK172" s="51">
        <f t="shared" si="181"/>
        <v>1.0000074348919146</v>
      </c>
      <c r="AL172" s="51">
        <f t="shared" si="182"/>
        <v>3.8561239218329909E-3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-0.000170731707317073</v>
      </c>
      <c r="AT172" s="32" t="str">
        <f t="shared" si="164"/>
        <v>0.0000827872516004008i</v>
      </c>
      <c r="AU172" s="32">
        <f t="shared" si="188"/>
        <v>8.2787251600400797E-5</v>
      </c>
      <c r="AV172" s="32">
        <f t="shared" si="189"/>
        <v>1.5707963267948966</v>
      </c>
      <c r="AW172" s="32" t="str">
        <f t="shared" si="165"/>
        <v>1+0.0176261167811822i</v>
      </c>
      <c r="AX172" s="32">
        <f t="shared" si="190"/>
        <v>1.0001553279330087</v>
      </c>
      <c r="AY172" s="32">
        <f t="shared" si="191"/>
        <v>1.7624291760757058E-2</v>
      </c>
      <c r="AZ172" s="32" t="str">
        <f t="shared" si="166"/>
        <v>1+0.334896218842463i</v>
      </c>
      <c r="BA172" s="32">
        <f t="shared" si="192"/>
        <v>1.0545878234623132</v>
      </c>
      <c r="BB172" s="32">
        <f t="shared" si="193"/>
        <v>0.32315649123257928</v>
      </c>
      <c r="BC172" s="60" t="str">
        <f t="shared" si="194"/>
        <v>-0.654101222726105+2.07382392967804i</v>
      </c>
      <c r="BD172" s="51">
        <f t="shared" si="195"/>
        <v>6.7473203608881347</v>
      </c>
      <c r="BE172" s="63">
        <f t="shared" si="196"/>
        <v>107.5057055350846</v>
      </c>
      <c r="BF172" s="60" t="str">
        <f t="shared" si="197"/>
        <v>14.8205031140546+36.1438182678078i</v>
      </c>
      <c r="BG172" s="66">
        <f t="shared" si="198"/>
        <v>31.835610541145115</v>
      </c>
      <c r="BH172" s="63">
        <f t="shared" si="199"/>
        <v>67.704284177311877</v>
      </c>
      <c r="BI172" s="60" t="e">
        <f t="shared" si="152"/>
        <v>#NUM!</v>
      </c>
      <c r="BJ172" s="66" t="e">
        <f t="shared" si="200"/>
        <v>#NUM!</v>
      </c>
      <c r="BK172" s="63" t="e">
        <f t="shared" si="153"/>
        <v>#NUM!</v>
      </c>
      <c r="BL172" s="51">
        <f t="shared" si="201"/>
        <v>31.835610541145115</v>
      </c>
      <c r="BM172" s="63">
        <f t="shared" si="202"/>
        <v>67.704284177311877</v>
      </c>
    </row>
    <row r="173" spans="14:65" x14ac:dyDescent="0.3">
      <c r="N173" s="11">
        <v>55</v>
      </c>
      <c r="O173" s="52">
        <f t="shared" si="154"/>
        <v>354.81338923357566</v>
      </c>
      <c r="P173" s="50" t="str">
        <f t="shared" si="155"/>
        <v>23.3035714285714</v>
      </c>
      <c r="Q173" s="18" t="str">
        <f t="shared" si="156"/>
        <v>1+0.845563745361577i</v>
      </c>
      <c r="R173" s="18">
        <f t="shared" si="167"/>
        <v>1.3095717038291175</v>
      </c>
      <c r="S173" s="18">
        <f t="shared" si="168"/>
        <v>0.70191294510538338</v>
      </c>
      <c r="T173" s="18" t="str">
        <f t="shared" si="157"/>
        <v>1+0.00394596414502069i</v>
      </c>
      <c r="U173" s="18">
        <f t="shared" si="169"/>
        <v>1.0000077852862115</v>
      </c>
      <c r="V173" s="18">
        <f t="shared" si="170"/>
        <v>3.9459436648254676E-3</v>
      </c>
      <c r="W173" s="32" t="str">
        <f t="shared" si="158"/>
        <v>1-0.00544954244761175i</v>
      </c>
      <c r="X173" s="18">
        <f t="shared" si="171"/>
        <v>1.000014848646203</v>
      </c>
      <c r="Y173" s="18">
        <f t="shared" si="172"/>
        <v>-5.4494885026206081E-3</v>
      </c>
      <c r="Z173" s="32" t="str">
        <f t="shared" si="159"/>
        <v>0.999999496429835+0.00267461685530223i</v>
      </c>
      <c r="AA173" s="18">
        <f t="shared" si="173"/>
        <v>1.0000030732129008</v>
      </c>
      <c r="AB173" s="18">
        <f t="shared" si="174"/>
        <v>2.6746118244868537E-3</v>
      </c>
      <c r="AC173" s="68" t="str">
        <f t="shared" si="175"/>
        <v>13.5404026791484-11.5466411965663i</v>
      </c>
      <c r="AD173" s="66">
        <f t="shared" si="176"/>
        <v>25.006033942037178</v>
      </c>
      <c r="AE173" s="63">
        <f t="shared" si="177"/>
        <v>-40.456040083029521</v>
      </c>
      <c r="AF173" s="51" t="e">
        <f t="shared" si="178"/>
        <v>#NUM!</v>
      </c>
      <c r="AG173" s="51" t="str">
        <f t="shared" si="160"/>
        <v>1-1.18378924350621i</v>
      </c>
      <c r="AH173" s="51">
        <f t="shared" si="179"/>
        <v>1.5496312377598114</v>
      </c>
      <c r="AI173" s="51">
        <f t="shared" si="180"/>
        <v>-0.86936100504507119</v>
      </c>
      <c r="AJ173" s="51" t="str">
        <f t="shared" si="161"/>
        <v>1+0.00394596414502069i</v>
      </c>
      <c r="AK173" s="51">
        <f t="shared" si="181"/>
        <v>1.0000077852862115</v>
      </c>
      <c r="AL173" s="51">
        <f t="shared" si="182"/>
        <v>3.9459436648254676E-3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-0.000170731707317073</v>
      </c>
      <c r="AT173" s="32" t="str">
        <f t="shared" si="164"/>
        <v>0.0000847156144128738i</v>
      </c>
      <c r="AU173" s="32">
        <f t="shared" si="188"/>
        <v>8.47156144128738E-5</v>
      </c>
      <c r="AV173" s="32">
        <f t="shared" si="189"/>
        <v>1.5707963267948966</v>
      </c>
      <c r="AW173" s="32" t="str">
        <f t="shared" si="165"/>
        <v>1+0.018036681783306i</v>
      </c>
      <c r="AX173" s="32">
        <f t="shared" si="190"/>
        <v>1.0001626477177361</v>
      </c>
      <c r="AY173" s="32">
        <f t="shared" si="191"/>
        <v>1.8034726255863137E-2</v>
      </c>
      <c r="AZ173" s="32" t="str">
        <f t="shared" si="166"/>
        <v>1+0.342696953882814i</v>
      </c>
      <c r="BA173" s="32">
        <f t="shared" si="192"/>
        <v>1.0570909148226371</v>
      </c>
      <c r="BB173" s="32">
        <f t="shared" si="193"/>
        <v>0.33015400849144511</v>
      </c>
      <c r="BC173" s="60" t="str">
        <f t="shared" si="194"/>
        <v>-0.654091648558082+2.02714875027514i</v>
      </c>
      <c r="BD173" s="51">
        <f t="shared" si="195"/>
        <v>6.5678485470424874</v>
      </c>
      <c r="BE173" s="63">
        <f t="shared" si="196"/>
        <v>107.88311757675139</v>
      </c>
      <c r="BF173" s="60" t="str">
        <f t="shared" si="197"/>
        <v>14.5500949609504+35.0009719448286i</v>
      </c>
      <c r="BG173" s="66">
        <f t="shared" si="198"/>
        <v>31.573882489079672</v>
      </c>
      <c r="BH173" s="63">
        <f t="shared" si="199"/>
        <v>67.427077493721853</v>
      </c>
      <c r="BI173" s="60" t="e">
        <f t="shared" si="152"/>
        <v>#NUM!</v>
      </c>
      <c r="BJ173" s="66" t="e">
        <f t="shared" si="200"/>
        <v>#NUM!</v>
      </c>
      <c r="BK173" s="63" t="e">
        <f t="shared" si="153"/>
        <v>#NUM!</v>
      </c>
      <c r="BL173" s="51">
        <f t="shared" si="201"/>
        <v>31.573882489079672</v>
      </c>
      <c r="BM173" s="63">
        <f t="shared" si="202"/>
        <v>67.427077493721853</v>
      </c>
    </row>
    <row r="174" spans="14:65" x14ac:dyDescent="0.3">
      <c r="N174" s="11">
        <v>56</v>
      </c>
      <c r="O174" s="52">
        <f t="shared" si="154"/>
        <v>363.07805477010152</v>
      </c>
      <c r="P174" s="50" t="str">
        <f t="shared" si="155"/>
        <v>23.3035714285714</v>
      </c>
      <c r="Q174" s="18" t="str">
        <f t="shared" si="156"/>
        <v>1+0.865259455155173i</v>
      </c>
      <c r="R174" s="18">
        <f t="shared" si="167"/>
        <v>1.3223743512090012</v>
      </c>
      <c r="S174" s="18">
        <f t="shared" si="168"/>
        <v>0.71328652807598847</v>
      </c>
      <c r="T174" s="18" t="str">
        <f t="shared" si="157"/>
        <v>1+0.00403787745739081i</v>
      </c>
      <c r="U174" s="18">
        <f t="shared" si="169"/>
        <v>1.0000081521939512</v>
      </c>
      <c r="V174" s="18">
        <f t="shared" si="170"/>
        <v>4.0378555124759167E-3</v>
      </c>
      <c r="W174" s="32" t="str">
        <f t="shared" si="158"/>
        <v>1-0.00557647859777763i</v>
      </c>
      <c r="X174" s="18">
        <f t="shared" si="171"/>
        <v>1.0000155484358988</v>
      </c>
      <c r="Y174" s="18">
        <f t="shared" si="172"/>
        <v>-5.5764207947267396E-3</v>
      </c>
      <c r="Z174" s="32" t="str">
        <f t="shared" si="159"/>
        <v>0.999999472697305+0.00273691668506677i</v>
      </c>
      <c r="AA174" s="18">
        <f t="shared" si="173"/>
        <v>1.0000032180487366</v>
      </c>
      <c r="AB174" s="18">
        <f t="shared" si="174"/>
        <v>2.7369112944519011E-3</v>
      </c>
      <c r="AC174" s="68" t="str">
        <f t="shared" si="175"/>
        <v>13.2772752936847-11.587923597568i</v>
      </c>
      <c r="AD174" s="66">
        <f t="shared" si="176"/>
        <v>24.921539260240007</v>
      </c>
      <c r="AE174" s="63">
        <f t="shared" si="177"/>
        <v>-41.113274405545852</v>
      </c>
      <c r="AF174" s="51" t="e">
        <f t="shared" si="178"/>
        <v>#NUM!</v>
      </c>
      <c r="AG174" s="51" t="str">
        <f t="shared" si="160"/>
        <v>1-1.21136323721724i</v>
      </c>
      <c r="AH174" s="51">
        <f t="shared" si="179"/>
        <v>1.5707962606529948</v>
      </c>
      <c r="AI174" s="51">
        <f t="shared" si="180"/>
        <v>-0.88068920066014555</v>
      </c>
      <c r="AJ174" s="51" t="str">
        <f t="shared" si="161"/>
        <v>1+0.00403787745739081i</v>
      </c>
      <c r="AK174" s="51">
        <f t="shared" si="181"/>
        <v>1.0000081521939512</v>
      </c>
      <c r="AL174" s="51">
        <f t="shared" si="182"/>
        <v>4.0378555124759167E-3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-0.000170731707317073</v>
      </c>
      <c r="AT174" s="32" t="str">
        <f t="shared" si="164"/>
        <v>0.0000866888945654522i</v>
      </c>
      <c r="AU174" s="32">
        <f t="shared" si="188"/>
        <v>8.6688894565452199E-5</v>
      </c>
      <c r="AV174" s="32">
        <f t="shared" si="189"/>
        <v>1.5707963267948966</v>
      </c>
      <c r="AW174" s="32" t="str">
        <f t="shared" si="165"/>
        <v>1+0.018456810072855i</v>
      </c>
      <c r="AX174" s="32">
        <f t="shared" si="190"/>
        <v>1.0001703124158732</v>
      </c>
      <c r="AY174" s="32">
        <f t="shared" si="191"/>
        <v>1.8454714706718452E-2</v>
      </c>
      <c r="AZ174" s="32" t="str">
        <f t="shared" si="166"/>
        <v>1+0.350679391384246i</v>
      </c>
      <c r="BA174" s="32">
        <f t="shared" si="192"/>
        <v>1.0597056362696318</v>
      </c>
      <c r="BB174" s="32">
        <f t="shared" si="193"/>
        <v>0.33727993957524988</v>
      </c>
      <c r="BC174" s="60" t="str">
        <f t="shared" si="194"/>
        <v>-0.654081623473821+1.98154837569643i</v>
      </c>
      <c r="BD174" s="51">
        <f t="shared" si="195"/>
        <v>6.3892400620839238</v>
      </c>
      <c r="BE174" s="63">
        <f t="shared" si="196"/>
        <v>108.26733978727634</v>
      </c>
      <c r="BF174" s="60" t="str">
        <f t="shared" si="197"/>
        <v>14.2776094030531+33.8890111712631i</v>
      </c>
      <c r="BG174" s="66">
        <f t="shared" si="198"/>
        <v>31.310779322323924</v>
      </c>
      <c r="BH174" s="63">
        <f t="shared" si="199"/>
        <v>67.154065381730447</v>
      </c>
      <c r="BI174" s="60" t="e">
        <f t="shared" si="152"/>
        <v>#NUM!</v>
      </c>
      <c r="BJ174" s="66" t="e">
        <f t="shared" si="200"/>
        <v>#NUM!</v>
      </c>
      <c r="BK174" s="63" t="e">
        <f t="shared" si="153"/>
        <v>#NUM!</v>
      </c>
      <c r="BL174" s="51">
        <f t="shared" si="201"/>
        <v>31.310779322323924</v>
      </c>
      <c r="BM174" s="63">
        <f t="shared" si="202"/>
        <v>67.154065381730447</v>
      </c>
    </row>
    <row r="175" spans="14:65" x14ac:dyDescent="0.3">
      <c r="N175" s="11">
        <v>57</v>
      </c>
      <c r="O175" s="52">
        <f t="shared" si="154"/>
        <v>371.53522909717265</v>
      </c>
      <c r="P175" s="50" t="str">
        <f t="shared" si="155"/>
        <v>23.3035714285714</v>
      </c>
      <c r="Q175" s="18" t="str">
        <f t="shared" si="156"/>
        <v>1+0.885413936964951i</v>
      </c>
      <c r="R175" s="18">
        <f t="shared" si="167"/>
        <v>1.335648845981523</v>
      </c>
      <c r="S175" s="18">
        <f t="shared" si="168"/>
        <v>0.72469780780954907</v>
      </c>
      <c r="T175" s="18" t="str">
        <f t="shared" si="157"/>
        <v>1+0.00413193170583644i</v>
      </c>
      <c r="U175" s="18">
        <f t="shared" si="169"/>
        <v>1.0000085363933757</v>
      </c>
      <c r="V175" s="18">
        <f t="shared" si="170"/>
        <v>4.1319081914473208E-3</v>
      </c>
      <c r="W175" s="32" t="str">
        <f t="shared" si="158"/>
        <v>1-0.00570637147070946i</v>
      </c>
      <c r="X175" s="18">
        <f t="shared" si="171"/>
        <v>1.0000162812051421</v>
      </c>
      <c r="Y175" s="18">
        <f t="shared" si="172"/>
        <v>-5.7063095336789922E-3</v>
      </c>
      <c r="Z175" s="32" t="str">
        <f t="shared" si="159"/>
        <v>0.999999447846294+0.0028006676642851i</v>
      </c>
      <c r="AA175" s="18">
        <f t="shared" si="173"/>
        <v>1.0000033697104518</v>
      </c>
      <c r="AB175" s="18">
        <f t="shared" si="174"/>
        <v>2.8006618881382468E-3</v>
      </c>
      <c r="AC175" s="68" t="str">
        <f t="shared" si="175"/>
        <v>13.0124008656782-11.6233175397954i</v>
      </c>
      <c r="AD175" s="66">
        <f t="shared" si="176"/>
        <v>24.834790121018003</v>
      </c>
      <c r="AE175" s="63">
        <f t="shared" si="177"/>
        <v>-41.772798468072914</v>
      </c>
      <c r="AF175" s="51" t="e">
        <f t="shared" si="178"/>
        <v>#NUM!</v>
      </c>
      <c r="AG175" s="51" t="str">
        <f t="shared" si="160"/>
        <v>1-1.23957951175093i</v>
      </c>
      <c r="AH175" s="51">
        <f t="shared" si="179"/>
        <v>1.5926573284773704</v>
      </c>
      <c r="AI175" s="51">
        <f t="shared" si="180"/>
        <v>-0.89196809886913919</v>
      </c>
      <c r="AJ175" s="51" t="str">
        <f t="shared" si="161"/>
        <v>1+0.00413193170583644i</v>
      </c>
      <c r="AK175" s="51">
        <f t="shared" si="181"/>
        <v>1.0000085363933757</v>
      </c>
      <c r="AL175" s="51">
        <f t="shared" si="182"/>
        <v>4.1319081914473208E-3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-0.000170731707317073</v>
      </c>
      <c r="AT175" s="32" t="str">
        <f t="shared" si="164"/>
        <v>0.0000887081383173924i</v>
      </c>
      <c r="AU175" s="32">
        <f t="shared" si="188"/>
        <v>8.8708138317392403E-5</v>
      </c>
      <c r="AV175" s="32">
        <f t="shared" si="189"/>
        <v>1.5707963267948966</v>
      </c>
      <c r="AW175" s="32" t="str">
        <f t="shared" si="165"/>
        <v>1+0.0188867244074094i</v>
      </c>
      <c r="AX175" s="32">
        <f t="shared" si="190"/>
        <v>1.0001783382771501</v>
      </c>
      <c r="AY175" s="32">
        <f t="shared" si="191"/>
        <v>1.8884479203763804E-2</v>
      </c>
      <c r="AZ175" s="32" t="str">
        <f t="shared" si="166"/>
        <v>1+0.358847763740778i</v>
      </c>
      <c r="BA175" s="32">
        <f t="shared" si="192"/>
        <v>1.0624366887216183</v>
      </c>
      <c r="BB175" s="32">
        <f t="shared" si="193"/>
        <v>0.34453516704418186</v>
      </c>
      <c r="BC175" s="60" t="str">
        <f t="shared" si="194"/>
        <v>-0.654071126251252+1.93699862685654i</v>
      </c>
      <c r="BD175" s="51">
        <f t="shared" si="195"/>
        <v>6.2115266700847069</v>
      </c>
      <c r="BE175" s="63">
        <f t="shared" si="196"/>
        <v>108.65841000878811</v>
      </c>
      <c r="BF175" s="60" t="str">
        <f t="shared" si="197"/>
        <v>14.0033144246543+32.8074790029554i</v>
      </c>
      <c r="BG175" s="66">
        <f t="shared" si="198"/>
        <v>31.046316791102701</v>
      </c>
      <c r="BH175" s="63">
        <f t="shared" si="199"/>
        <v>66.885611540715203</v>
      </c>
      <c r="BI175" s="60" t="e">
        <f t="shared" si="152"/>
        <v>#NUM!</v>
      </c>
      <c r="BJ175" s="66" t="e">
        <f t="shared" si="200"/>
        <v>#NUM!</v>
      </c>
      <c r="BK175" s="63" t="e">
        <f t="shared" si="153"/>
        <v>#NUM!</v>
      </c>
      <c r="BL175" s="51">
        <f t="shared" si="201"/>
        <v>31.046316791102701</v>
      </c>
      <c r="BM175" s="63">
        <f t="shared" si="202"/>
        <v>66.885611540715203</v>
      </c>
    </row>
    <row r="176" spans="14:65" x14ac:dyDescent="0.3">
      <c r="N176" s="11">
        <v>58</v>
      </c>
      <c r="O176" s="52">
        <f t="shared" si="154"/>
        <v>380.18939632056163</v>
      </c>
      <c r="P176" s="50" t="str">
        <f t="shared" si="155"/>
        <v>23.3035714285714</v>
      </c>
      <c r="Q176" s="18" t="str">
        <f t="shared" si="156"/>
        <v>1+0.906037876963948i</v>
      </c>
      <c r="R176" s="18">
        <f t="shared" si="167"/>
        <v>1.3494089945206895</v>
      </c>
      <c r="S176" s="18">
        <f t="shared" si="168"/>
        <v>0.73614094806066421</v>
      </c>
      <c r="T176" s="18" t="str">
        <f t="shared" si="157"/>
        <v>1+0.00422817675916509i</v>
      </c>
      <c r="U176" s="18">
        <f t="shared" si="169"/>
        <v>1.0000089386994031</v>
      </c>
      <c r="V176" s="18">
        <f t="shared" si="170"/>
        <v>4.2281515630553622E-3</v>
      </c>
      <c r="W176" s="32" t="str">
        <f t="shared" si="158"/>
        <v>1-0.00583928993732781i</v>
      </c>
      <c r="X176" s="18">
        <f t="shared" si="171"/>
        <v>1.0000170485081603</v>
      </c>
      <c r="Y176" s="18">
        <f t="shared" si="172"/>
        <v>-5.8392235706650622E-3</v>
      </c>
      <c r="Z176" s="32" t="str">
        <f t="shared" si="159"/>
        <v>0.999999421824092+0.00286590359457025i</v>
      </c>
      <c r="AA176" s="18">
        <f t="shared" si="173"/>
        <v>1.0000035285197406</v>
      </c>
      <c r="AB176" s="18">
        <f t="shared" si="174"/>
        <v>2.8658974053185566E-3</v>
      </c>
      <c r="AC176" s="68" t="str">
        <f t="shared" si="175"/>
        <v>12.7460453665357-11.6527312546642i</v>
      </c>
      <c r="AD176" s="66">
        <f t="shared" si="176"/>
        <v>24.74577275288922</v>
      </c>
      <c r="AE176" s="63">
        <f t="shared" si="177"/>
        <v>-42.434280903005138</v>
      </c>
      <c r="AF176" s="51" t="e">
        <f t="shared" si="178"/>
        <v>#NUM!</v>
      </c>
      <c r="AG176" s="51" t="str">
        <f t="shared" si="160"/>
        <v>1-1.26845302774953i</v>
      </c>
      <c r="AH176" s="51">
        <f t="shared" si="179"/>
        <v>1.6152315882271959</v>
      </c>
      <c r="AI176" s="51">
        <f t="shared" si="180"/>
        <v>-0.90319220197233174</v>
      </c>
      <c r="AJ176" s="51" t="str">
        <f t="shared" si="161"/>
        <v>1+0.00422817675916509i</v>
      </c>
      <c r="AK176" s="51">
        <f t="shared" si="181"/>
        <v>1.0000089386994031</v>
      </c>
      <c r="AL176" s="51">
        <f t="shared" si="182"/>
        <v>4.2281515630553622E-3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-0.000170731707317073</v>
      </c>
      <c r="AT176" s="32" t="str">
        <f t="shared" si="164"/>
        <v>0.0000907744162984595i</v>
      </c>
      <c r="AU176" s="32">
        <f t="shared" si="188"/>
        <v>9.0774416298459499E-5</v>
      </c>
      <c r="AV176" s="32">
        <f t="shared" si="189"/>
        <v>1.5707963267948966</v>
      </c>
      <c r="AW176" s="32" t="str">
        <f t="shared" si="165"/>
        <v>1+0.0193266527332399i</v>
      </c>
      <c r="AX176" s="32">
        <f t="shared" si="190"/>
        <v>1.0001867423165891</v>
      </c>
      <c r="AY176" s="32">
        <f t="shared" si="191"/>
        <v>1.9324246978448336E-2</v>
      </c>
      <c r="AZ176" s="32" t="str">
        <f t="shared" si="166"/>
        <v>1+0.367206401931558i</v>
      </c>
      <c r="BA176" s="32">
        <f t="shared" si="192"/>
        <v>1.0652889474783453</v>
      </c>
      <c r="BB176" s="32">
        <f t="shared" si="193"/>
        <v>0.35192048154106509</v>
      </c>
      <c r="BC176" s="60" t="str">
        <f t="shared" si="194"/>
        <v>-0.654060134670951+1.89347588164259i</v>
      </c>
      <c r="BD176" s="51">
        <f t="shared" si="195"/>
        <v>6.0347409182452036</v>
      </c>
      <c r="BE176" s="63">
        <f t="shared" si="196"/>
        <v>109.05636052238104</v>
      </c>
      <c r="BF176" s="60" t="str">
        <f t="shared" si="197"/>
        <v>13.7274854370111+31.7559164615677i</v>
      </c>
      <c r="BG176" s="66">
        <f t="shared" si="198"/>
        <v>30.780513671134425</v>
      </c>
      <c r="BH176" s="63">
        <f t="shared" si="199"/>
        <v>66.622079619375853</v>
      </c>
      <c r="BI176" s="60" t="e">
        <f t="shared" si="152"/>
        <v>#NUM!</v>
      </c>
      <c r="BJ176" s="66" t="e">
        <f t="shared" si="200"/>
        <v>#NUM!</v>
      </c>
      <c r="BK176" s="63" t="e">
        <f t="shared" si="153"/>
        <v>#NUM!</v>
      </c>
      <c r="BL176" s="51">
        <f t="shared" si="201"/>
        <v>30.780513671134425</v>
      </c>
      <c r="BM176" s="63">
        <f t="shared" si="202"/>
        <v>66.622079619375853</v>
      </c>
    </row>
    <row r="177" spans="14:65" x14ac:dyDescent="0.3">
      <c r="N177" s="11">
        <v>59</v>
      </c>
      <c r="O177" s="52">
        <f t="shared" si="154"/>
        <v>389.04514499428063</v>
      </c>
      <c r="P177" s="50" t="str">
        <f t="shared" si="155"/>
        <v>23.3035714285714</v>
      </c>
      <c r="Q177" s="18" t="str">
        <f t="shared" si="156"/>
        <v>1+0.92714221023814i</v>
      </c>
      <c r="R177" s="18">
        <f t="shared" si="167"/>
        <v>1.3636688300336206</v>
      </c>
      <c r="S177" s="18">
        <f t="shared" si="168"/>
        <v>0.7476100296788325</v>
      </c>
      <c r="T177" s="18" t="str">
        <f t="shared" si="157"/>
        <v>1+0.00432666364777799i</v>
      </c>
      <c r="U177" s="18">
        <f t="shared" si="169"/>
        <v>1.0000093599653561</v>
      </c>
      <c r="V177" s="18">
        <f t="shared" si="170"/>
        <v>4.3266366496736474E-3</v>
      </c>
      <c r="W177" s="32" t="str">
        <f t="shared" si="158"/>
        <v>1-0.00597530447276307i</v>
      </c>
      <c r="X177" s="18">
        <f t="shared" si="171"/>
        <v>1.0000178519724245</v>
      </c>
      <c r="Y177" s="18">
        <f t="shared" si="172"/>
        <v>-5.9752333596712745E-3</v>
      </c>
      <c r="Z177" s="32" t="str">
        <f t="shared" si="159"/>
        <v>0.999999394575501+0.00293265906487596i</v>
      </c>
      <c r="AA177" s="18">
        <f t="shared" si="173"/>
        <v>1.0000036948134539</v>
      </c>
      <c r="AB177" s="18">
        <f t="shared" si="174"/>
        <v>2.932652432974598E-3</v>
      </c>
      <c r="AC177" s="68" t="str">
        <f t="shared" si="175"/>
        <v>12.4784809046234-11.6760879701963i</v>
      </c>
      <c r="AD177" s="66">
        <f t="shared" si="176"/>
        <v>24.654475683650663</v>
      </c>
      <c r="AE177" s="63">
        <f t="shared" si="177"/>
        <v>-43.097385663037585</v>
      </c>
      <c r="AF177" s="51" t="e">
        <f t="shared" si="178"/>
        <v>#NUM!</v>
      </c>
      <c r="AG177" s="51" t="str">
        <f t="shared" si="160"/>
        <v>1-1.2979990943334i</v>
      </c>
      <c r="AH177" s="51">
        <f t="shared" si="179"/>
        <v>1.6385364350206946</v>
      </c>
      <c r="AI177" s="51">
        <f t="shared" si="180"/>
        <v>-0.91435614962180156</v>
      </c>
      <c r="AJ177" s="51" t="str">
        <f t="shared" si="161"/>
        <v>1+0.00432666364777799i</v>
      </c>
      <c r="AK177" s="51">
        <f t="shared" si="181"/>
        <v>1.0000093599653561</v>
      </c>
      <c r="AL177" s="51">
        <f t="shared" si="182"/>
        <v>4.3266366496736474E-3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-0.000170731707317073</v>
      </c>
      <c r="AT177" s="32" t="str">
        <f t="shared" si="164"/>
        <v>0.0000928888240765894i</v>
      </c>
      <c r="AU177" s="32">
        <f t="shared" si="188"/>
        <v>9.2888824076589407E-5</v>
      </c>
      <c r="AV177" s="32">
        <f t="shared" si="189"/>
        <v>1.5707963267948966</v>
      </c>
      <c r="AW177" s="32" t="str">
        <f t="shared" si="165"/>
        <v>1+0.019776828306168i</v>
      </c>
      <c r="AX177" s="32">
        <f t="shared" si="190"/>
        <v>1.0001955423505204</v>
      </c>
      <c r="AY177" s="32">
        <f t="shared" si="191"/>
        <v>1.977425052068342E-2</v>
      </c>
      <c r="AZ177" s="32" t="str">
        <f t="shared" si="166"/>
        <v>1+0.375759737817194i</v>
      </c>
      <c r="BA177" s="32">
        <f t="shared" si="192"/>
        <v>1.0682674667724588</v>
      </c>
      <c r="BB177" s="32">
        <f t="shared" si="193"/>
        <v>0.35943657535543266</v>
      </c>
      <c r="BC177" s="60" t="str">
        <f t="shared" si="194"/>
        <v>-0.654048625469375+1.85095706238364i</v>
      </c>
      <c r="BD177" s="51">
        <f t="shared" si="195"/>
        <v>5.8589161232691724</v>
      </c>
      <c r="BE177" s="63">
        <f t="shared" si="196"/>
        <v>109.46121767263278</v>
      </c>
      <c r="BF177" s="60" t="str">
        <f t="shared" si="197"/>
        <v>13.4504042058327+30.7338616459985i</v>
      </c>
      <c r="BG177" s="66">
        <f t="shared" si="198"/>
        <v>30.513391806919842</v>
      </c>
      <c r="BH177" s="63">
        <f t="shared" si="199"/>
        <v>66.363832009595271</v>
      </c>
      <c r="BI177" s="60" t="e">
        <f t="shared" si="152"/>
        <v>#NUM!</v>
      </c>
      <c r="BJ177" s="66" t="e">
        <f t="shared" si="200"/>
        <v>#NUM!</v>
      </c>
      <c r="BK177" s="63" t="e">
        <f t="shared" si="153"/>
        <v>#NUM!</v>
      </c>
      <c r="BL177" s="51">
        <f t="shared" si="201"/>
        <v>30.513391806919842</v>
      </c>
      <c r="BM177" s="63">
        <f t="shared" si="202"/>
        <v>66.363832009595271</v>
      </c>
    </row>
    <row r="178" spans="14:65" x14ac:dyDescent="0.3">
      <c r="N178" s="11">
        <v>60</v>
      </c>
      <c r="O178" s="52">
        <f t="shared" si="154"/>
        <v>398.10717055349761</v>
      </c>
      <c r="P178" s="50" t="str">
        <f t="shared" si="155"/>
        <v>23.3035714285714</v>
      </c>
      <c r="Q178" s="18" t="str">
        <f t="shared" si="156"/>
        <v>1+0.948738126584376i</v>
      </c>
      <c r="R178" s="18">
        <f t="shared" si="167"/>
        <v>1.3784426113679276</v>
      </c>
      <c r="S178" s="18">
        <f t="shared" si="168"/>
        <v>0.75909906559976192</v>
      </c>
      <c r="T178" s="18" t="str">
        <f t="shared" si="157"/>
        <v>1+0.00442744459072709i</v>
      </c>
      <c r="U178" s="18">
        <f t="shared" si="169"/>
        <v>1.0000098010847713</v>
      </c>
      <c r="V178" s="18">
        <f t="shared" si="170"/>
        <v>4.4274156617523947E-3</v>
      </c>
      <c r="W178" s="32" t="str">
        <f t="shared" si="158"/>
        <v>1-0.00611448719372228i</v>
      </c>
      <c r="X178" s="18">
        <f t="shared" si="171"/>
        <v>1.0000186933021014</v>
      </c>
      <c r="Y178" s="18">
        <f t="shared" si="172"/>
        <v>-6.1144109947484952E-3</v>
      </c>
      <c r="Z178" s="32" t="str">
        <f t="shared" si="159"/>
        <v>0.999999366042723+0.00300096946983619i</v>
      </c>
      <c r="AA178" s="18">
        <f t="shared" si="173"/>
        <v>1.0000038689443189</v>
      </c>
      <c r="AB178" s="18">
        <f t="shared" si="174"/>
        <v>3.000962363627326E-3</v>
      </c>
      <c r="AC178" s="68" t="str">
        <f t="shared" si="175"/>
        <v>12.2099846360481-11.6933263963513i</v>
      </c>
      <c r="AD178" s="66">
        <f t="shared" si="176"/>
        <v>24.560889788212748</v>
      </c>
      <c r="AE178" s="63">
        <f t="shared" si="177"/>
        <v>-43.761772881743113</v>
      </c>
      <c r="AF178" s="51" t="e">
        <f t="shared" si="178"/>
        <v>#NUM!</v>
      </c>
      <c r="AG178" s="51" t="str">
        <f t="shared" si="160"/>
        <v>1-1.32823337721813i</v>
      </c>
      <c r="AH178" s="51">
        <f t="shared" si="179"/>
        <v>1.6625895176971011</v>
      </c>
      <c r="AI178" s="51">
        <f t="shared" si="180"/>
        <v>-0.92545473039832371</v>
      </c>
      <c r="AJ178" s="51" t="str">
        <f t="shared" si="161"/>
        <v>1+0.00442744459072709i</v>
      </c>
      <c r="AK178" s="51">
        <f t="shared" si="181"/>
        <v>1.0000098010847713</v>
      </c>
      <c r="AL178" s="51">
        <f t="shared" si="182"/>
        <v>4.4274156617523947E-3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-0.000170731707317073</v>
      </c>
      <c r="AT178" s="32" t="str">
        <f t="shared" si="164"/>
        <v>0.0000950524827387738i</v>
      </c>
      <c r="AU178" s="32">
        <f t="shared" si="188"/>
        <v>9.5052482738773798E-5</v>
      </c>
      <c r="AV178" s="32">
        <f t="shared" si="189"/>
        <v>1.5707963267948966</v>
      </c>
      <c r="AW178" s="32" t="str">
        <f t="shared" si="165"/>
        <v>1+0.0202374898152414i</v>
      </c>
      <c r="AX178" s="32">
        <f t="shared" si="190"/>
        <v>1.0002047570342896</v>
      </c>
      <c r="AY178" s="32">
        <f t="shared" si="191"/>
        <v>2.0234727698868495E-2</v>
      </c>
      <c r="AZ178" s="32" t="str">
        <f t="shared" si="166"/>
        <v>1+0.384512306489587i</v>
      </c>
      <c r="BA178" s="32">
        <f t="shared" si="192"/>
        <v>1.0713774842892407</v>
      </c>
      <c r="BB178" s="32">
        <f t="shared" si="193"/>
        <v>0.36708403585499061</v>
      </c>
      <c r="BC178" s="60" t="str">
        <f t="shared" si="194"/>
        <v>-0.654036574289954+1.80941962360822i</v>
      </c>
      <c r="BD178" s="51">
        <f t="shared" si="195"/>
        <v>5.6840863543488069</v>
      </c>
      <c r="BE178" s="63">
        <f t="shared" si="196"/>
        <v>109.87300148437825</v>
      </c>
      <c r="BF178" s="60" t="str">
        <f t="shared" si="197"/>
        <v>13.1723577233202+29.7408489427442i</v>
      </c>
      <c r="BG178" s="66">
        <f t="shared" si="198"/>
        <v>30.244976142561562</v>
      </c>
      <c r="BH178" s="63">
        <f t="shared" si="199"/>
        <v>66.11122860263508</v>
      </c>
      <c r="BI178" s="60" t="e">
        <f t="shared" ref="BI178:BI241" si="203">IMPRODUCT(AP178,BC178)</f>
        <v>#NUM!</v>
      </c>
      <c r="BJ178" s="66" t="e">
        <f t="shared" si="200"/>
        <v>#NUM!</v>
      </c>
      <c r="BK178" s="63" t="e">
        <f t="shared" ref="BK178:BK241" si="204">(180/PI())*IMARGUMENT(BI178)</f>
        <v>#NUM!</v>
      </c>
      <c r="BL178" s="51">
        <f t="shared" si="201"/>
        <v>30.244976142561562</v>
      </c>
      <c r="BM178" s="63">
        <f t="shared" si="202"/>
        <v>66.11122860263508</v>
      </c>
    </row>
    <row r="179" spans="14:65" x14ac:dyDescent="0.3">
      <c r="N179" s="11">
        <v>61</v>
      </c>
      <c r="O179" s="52">
        <f t="shared" si="154"/>
        <v>407.38027780411272</v>
      </c>
      <c r="P179" s="50" t="str">
        <f t="shared" si="155"/>
        <v>23.3035714285714</v>
      </c>
      <c r="Q179" s="18" t="str">
        <f t="shared" si="156"/>
        <v>1+0.970837076443364i</v>
      </c>
      <c r="R179" s="18">
        <f t="shared" si="167"/>
        <v>1.3937448220521209</v>
      </c>
      <c r="S179" s="18">
        <f t="shared" si="168"/>
        <v>0.77060201626770986</v>
      </c>
      <c r="T179" s="18" t="str">
        <f t="shared" si="157"/>
        <v>1+0.00453057302340237i</v>
      </c>
      <c r="U179" s="18">
        <f t="shared" si="169"/>
        <v>1.0000102629932957</v>
      </c>
      <c r="V179" s="18">
        <f t="shared" si="170"/>
        <v>4.5305420254646853E-3</v>
      </c>
      <c r="W179" s="32" t="str">
        <f t="shared" si="158"/>
        <v>1-0.00625691189672643i</v>
      </c>
      <c r="X179" s="18">
        <f t="shared" si="171"/>
        <v>1.0000195742816655</v>
      </c>
      <c r="Y179" s="18">
        <f t="shared" si="172"/>
        <v>-6.2568302481412963E-3</v>
      </c>
      <c r="Z179" s="32" t="str">
        <f t="shared" si="159"/>
        <v>0.999999336165237+0.00307087102853187i</v>
      </c>
      <c r="AA179" s="18">
        <f t="shared" si="173"/>
        <v>1.0000040512816879</v>
      </c>
      <c r="AB179" s="18">
        <f t="shared" si="174"/>
        <v>3.0708634140935395E-3</v>
      </c>
      <c r="AC179" s="68" t="str">
        <f t="shared" si="175"/>
        <v>11.9408376309402-11.704401115597i</v>
      </c>
      <c r="AD179" s="66">
        <f t="shared" si="176"/>
        <v>24.465008326937262</v>
      </c>
      <c r="AE179" s="63">
        <f t="shared" si="177"/>
        <v>-44.427099758882619</v>
      </c>
      <c r="AF179" s="51" t="e">
        <f t="shared" si="178"/>
        <v>#NUM!</v>
      </c>
      <c r="AG179" s="51" t="str">
        <f t="shared" si="160"/>
        <v>1-1.35917190702071i</v>
      </c>
      <c r="AH179" s="51">
        <f t="shared" si="179"/>
        <v>1.6874087450390653</v>
      </c>
      <c r="AI179" s="51">
        <f t="shared" si="180"/>
        <v>-0.93648289251867489</v>
      </c>
      <c r="AJ179" s="51" t="str">
        <f t="shared" si="161"/>
        <v>1+0.00453057302340237i</v>
      </c>
      <c r="AK179" s="51">
        <f t="shared" si="181"/>
        <v>1.0000102629932957</v>
      </c>
      <c r="AL179" s="51">
        <f t="shared" si="182"/>
        <v>4.5305420254646853E-3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-0.000170731707317073</v>
      </c>
      <c r="AT179" s="32" t="str">
        <f t="shared" si="164"/>
        <v>0.0000972665394854745i</v>
      </c>
      <c r="AU179" s="32">
        <f t="shared" si="188"/>
        <v>9.7266539485474496E-5</v>
      </c>
      <c r="AV179" s="32">
        <f t="shared" si="189"/>
        <v>1.5707963267948966</v>
      </c>
      <c r="AW179" s="32" t="str">
        <f t="shared" si="165"/>
        <v>1+0.0207088815092896i</v>
      </c>
      <c r="AX179" s="32">
        <f t="shared" si="190"/>
        <v>1.0002144059017375</v>
      </c>
      <c r="AY179" s="32">
        <f t="shared" si="191"/>
        <v>2.0705921882536654E-2</v>
      </c>
      <c r="AZ179" s="32" t="str">
        <f t="shared" si="166"/>
        <v>1+0.393468748676504i</v>
      </c>
      <c r="BA179" s="32">
        <f t="shared" si="192"/>
        <v>1.0746244256413744</v>
      </c>
      <c r="BB179" s="32">
        <f t="shared" si="193"/>
        <v>0.3748633388045044</v>
      </c>
      <c r="BC179" s="60" t="str">
        <f t="shared" si="194"/>
        <v>-0.654023955631923+1.76884154008353i</v>
      </c>
      <c r="BD179" s="51">
        <f t="shared" si="195"/>
        <v>5.5102864125546702</v>
      </c>
      <c r="BE179" s="63">
        <f t="shared" si="196"/>
        <v>110.29172527288381</v>
      </c>
      <c r="BF179" s="60" t="str">
        <f t="shared" si="197"/>
        <v>12.893637034122+28.7764083409251i</v>
      </c>
      <c r="BG179" s="66">
        <f t="shared" si="198"/>
        <v>29.975294739491943</v>
      </c>
      <c r="BH179" s="63">
        <f t="shared" si="199"/>
        <v>65.864625514001133</v>
      </c>
      <c r="BI179" s="60" t="e">
        <f t="shared" si="203"/>
        <v>#NUM!</v>
      </c>
      <c r="BJ179" s="66" t="e">
        <f t="shared" si="200"/>
        <v>#NUM!</v>
      </c>
      <c r="BK179" s="63" t="e">
        <f t="shared" si="204"/>
        <v>#NUM!</v>
      </c>
      <c r="BL179" s="51">
        <f t="shared" si="201"/>
        <v>29.975294739491943</v>
      </c>
      <c r="BM179" s="63">
        <f t="shared" si="202"/>
        <v>65.864625514001133</v>
      </c>
    </row>
    <row r="180" spans="14:65" x14ac:dyDescent="0.3">
      <c r="N180" s="11">
        <v>62</v>
      </c>
      <c r="O180" s="52">
        <f t="shared" si="154"/>
        <v>416.86938347033572</v>
      </c>
      <c r="P180" s="50" t="str">
        <f t="shared" si="155"/>
        <v>23.3035714285714</v>
      </c>
      <c r="Q180" s="18" t="str">
        <f t="shared" si="156"/>
        <v>1+0.993450776970831i</v>
      </c>
      <c r="R180" s="18">
        <f t="shared" si="167"/>
        <v>1.4095901696109929</v>
      </c>
      <c r="S180" s="18">
        <f t="shared" si="168"/>
        <v>0.78211280539331318</v>
      </c>
      <c r="T180" s="18" t="str">
        <f t="shared" si="157"/>
        <v>1+0.00463610362586388i</v>
      </c>
      <c r="U180" s="18">
        <f t="shared" si="169"/>
        <v>1.0000107466706694</v>
      </c>
      <c r="V180" s="18">
        <f t="shared" si="170"/>
        <v>4.6360704109945066E-3</v>
      </c>
      <c r="W180" s="32" t="str">
        <f t="shared" si="158"/>
        <v>1-0.00640265409723825i</v>
      </c>
      <c r="X180" s="18">
        <f t="shared" si="171"/>
        <v>1.0000204967796855</v>
      </c>
      <c r="Y180" s="18">
        <f t="shared" si="172"/>
        <v>-6.4025666092998815E-3</v>
      </c>
      <c r="Z180" s="32" t="str">
        <f t="shared" si="159"/>
        <v>0.999999304879668+0.00314240080369466i</v>
      </c>
      <c r="AA180" s="18">
        <f t="shared" si="173"/>
        <v>1.000004242212317</v>
      </c>
      <c r="AB180" s="18">
        <f t="shared" si="174"/>
        <v>3.1423926446788471E-3</v>
      </c>
      <c r="AC180" s="68" t="str">
        <f t="shared" si="175"/>
        <v>11.6713237049485-11.7092828741122i</v>
      </c>
      <c r="AD180" s="66">
        <f t="shared" si="176"/>
        <v>24.36682697413929</v>
      </c>
      <c r="AE180" s="63">
        <f t="shared" si="177"/>
        <v>-45.093021464975386</v>
      </c>
      <c r="AF180" s="51" t="e">
        <f t="shared" si="178"/>
        <v>#NUM!</v>
      </c>
      <c r="AG180" s="51" t="str">
        <f t="shared" si="160"/>
        <v>1-1.39083108775917i</v>
      </c>
      <c r="AH180" s="51">
        <f t="shared" si="179"/>
        <v>1.7130122926229561</v>
      </c>
      <c r="AI180" s="51">
        <f t="shared" si="180"/>
        <v>-0.94743575363006682</v>
      </c>
      <c r="AJ180" s="51" t="str">
        <f t="shared" si="161"/>
        <v>1+0.00463610362586388i</v>
      </c>
      <c r="AK180" s="51">
        <f t="shared" si="181"/>
        <v>1.0000107466706694</v>
      </c>
      <c r="AL180" s="51">
        <f t="shared" si="182"/>
        <v>4.6360704109945066E-3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-0.000170731707317073</v>
      </c>
      <c r="AT180" s="32" t="str">
        <f t="shared" si="164"/>
        <v>0.0000995321682388854i</v>
      </c>
      <c r="AU180" s="32">
        <f t="shared" si="188"/>
        <v>9.9532168238885397E-5</v>
      </c>
      <c r="AV180" s="32">
        <f t="shared" si="189"/>
        <v>1.5707963267948966</v>
      </c>
      <c r="AW180" s="32" t="str">
        <f t="shared" si="165"/>
        <v>1+0.0211912533264286i</v>
      </c>
      <c r="AX180" s="32">
        <f t="shared" si="190"/>
        <v>1.0002245094065356</v>
      </c>
      <c r="AY180" s="32">
        <f t="shared" si="191"/>
        <v>2.1188082067670207E-2</v>
      </c>
      <c r="AZ180" s="32" t="str">
        <f t="shared" si="166"/>
        <v>1+0.402633813202144i</v>
      </c>
      <c r="BA180" s="32">
        <f t="shared" si="192"/>
        <v>1.0780139087849001</v>
      </c>
      <c r="BB180" s="32">
        <f t="shared" si="193"/>
        <v>0.3827748415948255</v>
      </c>
      <c r="BC180" s="60" t="str">
        <f t="shared" si="194"/>
        <v>-0.654010742796731+1.72920129513021i</v>
      </c>
      <c r="BD180" s="51">
        <f t="shared" si="195"/>
        <v>5.3375518064304792</v>
      </c>
      <c r="BE180" s="63">
        <f t="shared" si="196"/>
        <v>110.71739524871784</v>
      </c>
      <c r="BF180" s="60" t="str">
        <f t="shared" si="197"/>
        <v>12.6145360252663+27.840064856596i</v>
      </c>
      <c r="BG180" s="66">
        <f t="shared" si="198"/>
        <v>29.704378780569762</v>
      </c>
      <c r="BH180" s="63">
        <f t="shared" si="199"/>
        <v>65.624373783742499</v>
      </c>
      <c r="BI180" s="60" t="e">
        <f t="shared" si="203"/>
        <v>#NUM!</v>
      </c>
      <c r="BJ180" s="66" t="e">
        <f t="shared" si="200"/>
        <v>#NUM!</v>
      </c>
      <c r="BK180" s="63" t="e">
        <f t="shared" si="204"/>
        <v>#NUM!</v>
      </c>
      <c r="BL180" s="51">
        <f t="shared" si="201"/>
        <v>29.704378780569762</v>
      </c>
      <c r="BM180" s="63">
        <f t="shared" si="202"/>
        <v>65.624373783742499</v>
      </c>
    </row>
    <row r="181" spans="14:65" x14ac:dyDescent="0.3">
      <c r="N181" s="11">
        <v>63</v>
      </c>
      <c r="O181" s="52">
        <f t="shared" si="154"/>
        <v>426.57951880159294</v>
      </c>
      <c r="P181" s="50" t="str">
        <f t="shared" si="155"/>
        <v>23.3035714285714</v>
      </c>
      <c r="Q181" s="18" t="str">
        <f t="shared" si="156"/>
        <v>1+1.01659121825012i</v>
      </c>
      <c r="R181" s="18">
        <f t="shared" si="167"/>
        <v>1.4259935851970946</v>
      </c>
      <c r="S181" s="18">
        <f t="shared" si="168"/>
        <v>0.79362533594743345</v>
      </c>
      <c r="T181" s="18" t="str">
        <f t="shared" si="157"/>
        <v>1+0.0047440923518339i</v>
      </c>
      <c r="U181" s="18">
        <f t="shared" si="169"/>
        <v>1.0000112531428047</v>
      </c>
      <c r="V181" s="18">
        <f t="shared" si="170"/>
        <v>4.744056761481776E-3</v>
      </c>
      <c r="W181" s="32" t="str">
        <f t="shared" si="158"/>
        <v>1-0.00655179106970156i</v>
      </c>
      <c r="X181" s="18">
        <f t="shared" si="171"/>
        <v>1.0000214627527857</v>
      </c>
      <c r="Y181" s="18">
        <f t="shared" si="172"/>
        <v>-6.5516973247952874E-3</v>
      </c>
      <c r="Z181" s="32" t="str">
        <f t="shared" si="159"/>
        <v>0.999999272119657+0.00321559672135815i</v>
      </c>
      <c r="AA181" s="18">
        <f t="shared" si="173"/>
        <v>1.0000044421411929</v>
      </c>
      <c r="AB181" s="18">
        <f t="shared" si="174"/>
        <v>3.215587978817274E-3</v>
      </c>
      <c r="AC181" s="68" t="str">
        <f t="shared" si="175"/>
        <v>11.4017282261843-11.7079587701605i</v>
      </c>
      <c r="AD181" s="66">
        <f t="shared" si="176"/>
        <v>24.266343836499175</v>
      </c>
      <c r="AE181" s="63">
        <f t="shared" si="177"/>
        <v>-45.759192059433751</v>
      </c>
      <c r="AF181" s="51" t="e">
        <f t="shared" si="178"/>
        <v>#NUM!</v>
      </c>
      <c r="AG181" s="51" t="str">
        <f t="shared" si="160"/>
        <v>1-1.42322770555017i</v>
      </c>
      <c r="AH181" s="51">
        <f t="shared" si="179"/>
        <v>1.7394186102964406</v>
      </c>
      <c r="AI181" s="51">
        <f t="shared" si="180"/>
        <v>-0.95830860965768783</v>
      </c>
      <c r="AJ181" s="51" t="str">
        <f t="shared" si="161"/>
        <v>1+0.0047440923518339i</v>
      </c>
      <c r="AK181" s="51">
        <f t="shared" si="181"/>
        <v>1.0000112531428047</v>
      </c>
      <c r="AL181" s="51">
        <f t="shared" si="182"/>
        <v>4.744056761481776E-3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-0.000170731707317073</v>
      </c>
      <c r="AT181" s="32" t="str">
        <f t="shared" si="164"/>
        <v>0.00010185057026536i</v>
      </c>
      <c r="AU181" s="32">
        <f t="shared" si="188"/>
        <v>1.0185057026535999E-4</v>
      </c>
      <c r="AV181" s="32">
        <f t="shared" si="189"/>
        <v>1.5707963267948966</v>
      </c>
      <c r="AW181" s="32" t="str">
        <f t="shared" si="165"/>
        <v>1+0.0216848610265806i</v>
      </c>
      <c r="AX181" s="32">
        <f t="shared" si="190"/>
        <v>1.0002350889654603</v>
      </c>
      <c r="AY181" s="32">
        <f t="shared" si="191"/>
        <v>2.1681463004732324E-2</v>
      </c>
      <c r="AZ181" s="32" t="str">
        <f t="shared" si="166"/>
        <v>1+0.412012359505033i</v>
      </c>
      <c r="BA181" s="32">
        <f t="shared" si="192"/>
        <v>1.0815517483620025</v>
      </c>
      <c r="BB181" s="32">
        <f t="shared" si="193"/>
        <v>0.3908187764076177</v>
      </c>
      <c r="BC181" s="60" t="str">
        <f t="shared" si="194"/>
        <v>-0.653996907831985+1.69047786920601i</v>
      </c>
      <c r="BD181" s="51">
        <f t="shared" si="195"/>
        <v>5.16591872359625</v>
      </c>
      <c r="BE181" s="63">
        <f t="shared" si="196"/>
        <v>111.15001011878331</v>
      </c>
      <c r="BF181" s="60" t="str">
        <f t="shared" si="197"/>
        <v>12.3353501906675+26.9313380697754i</v>
      </c>
      <c r="BG181" s="66">
        <f t="shared" si="198"/>
        <v>29.43226256009542</v>
      </c>
      <c r="BH181" s="63">
        <f t="shared" si="199"/>
        <v>65.39081805934967</v>
      </c>
      <c r="BI181" s="60" t="e">
        <f t="shared" si="203"/>
        <v>#NUM!</v>
      </c>
      <c r="BJ181" s="66" t="e">
        <f t="shared" si="200"/>
        <v>#NUM!</v>
      </c>
      <c r="BK181" s="63" t="e">
        <f t="shared" si="204"/>
        <v>#NUM!</v>
      </c>
      <c r="BL181" s="51">
        <f t="shared" si="201"/>
        <v>29.43226256009542</v>
      </c>
      <c r="BM181" s="63">
        <f t="shared" si="202"/>
        <v>65.39081805934967</v>
      </c>
    </row>
    <row r="182" spans="14:65" x14ac:dyDescent="0.3">
      <c r="N182" s="11">
        <v>64</v>
      </c>
      <c r="O182" s="52">
        <f t="shared" si="154"/>
        <v>436.51583224016622</v>
      </c>
      <c r="P182" s="50" t="str">
        <f t="shared" si="155"/>
        <v>23.3035714285714</v>
      </c>
      <c r="Q182" s="18" t="str">
        <f t="shared" si="156"/>
        <v>1+1.0402706696495i</v>
      </c>
      <c r="R182" s="18">
        <f t="shared" si="167"/>
        <v>1.4429702235780957</v>
      </c>
      <c r="S182" s="18">
        <f t="shared" si="168"/>
        <v>0.80513350628868974</v>
      </c>
      <c r="T182" s="18" t="str">
        <f t="shared" si="157"/>
        <v>1+0.00485459645836435i</v>
      </c>
      <c r="U182" s="18">
        <f t="shared" si="169"/>
        <v>1.0000117834839615</v>
      </c>
      <c r="V182" s="18">
        <f t="shared" si="170"/>
        <v>4.8545583226392392E-3</v>
      </c>
      <c r="W182" s="32" t="str">
        <f t="shared" si="158"/>
        <v>1-0.00670440188851322i</v>
      </c>
      <c r="X182" s="18">
        <f t="shared" si="171"/>
        <v>1.0000224742497954</v>
      </c>
      <c r="Y182" s="18">
        <f t="shared" si="172"/>
        <v>-6.7043014391583045E-3</v>
      </c>
      <c r="Z182" s="32" t="str">
        <f t="shared" si="159"/>
        <v>0.999999237815713+0.00329049759096676i</v>
      </c>
      <c r="AA182" s="18">
        <f t="shared" si="173"/>
        <v>1.0000046514923833</v>
      </c>
      <c r="AB182" s="18">
        <f t="shared" si="174"/>
        <v>3.2904882231677714E-3</v>
      </c>
      <c r="AC182" s="68" t="str">
        <f t="shared" si="175"/>
        <v>11.1323369082308-11.7004323373829i</v>
      </c>
      <c r="AD182" s="66">
        <f t="shared" si="176"/>
        <v>24.163559461220267</v>
      </c>
      <c r="AE182" s="63">
        <f t="shared" si="177"/>
        <v>-46.425265416396627</v>
      </c>
      <c r="AF182" s="51" t="e">
        <f t="shared" si="178"/>
        <v>#NUM!</v>
      </c>
      <c r="AG182" s="51" t="str">
        <f t="shared" si="160"/>
        <v>1-1.45637893750931i</v>
      </c>
      <c r="AH182" s="51">
        <f t="shared" si="179"/>
        <v>1.7666464302799092</v>
      </c>
      <c r="AI182" s="51">
        <f t="shared" si="180"/>
        <v>-0.96909694268070834</v>
      </c>
      <c r="AJ182" s="51" t="str">
        <f t="shared" si="161"/>
        <v>1+0.00485459645836435i</v>
      </c>
      <c r="AK182" s="51">
        <f t="shared" si="181"/>
        <v>1.0000117834839615</v>
      </c>
      <c r="AL182" s="51">
        <f t="shared" si="182"/>
        <v>4.8545583226392392E-3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-0.000170731707317073</v>
      </c>
      <c r="AT182" s="32" t="str">
        <f t="shared" si="164"/>
        <v>0.000104222974812342i</v>
      </c>
      <c r="AU182" s="32">
        <f t="shared" si="188"/>
        <v>1.0422297481234201E-4</v>
      </c>
      <c r="AV182" s="32">
        <f t="shared" si="189"/>
        <v>1.5707963267948966</v>
      </c>
      <c r="AW182" s="32" t="str">
        <f t="shared" si="165"/>
        <v>1+0.0221899663270819i</v>
      </c>
      <c r="AX182" s="32">
        <f t="shared" si="190"/>
        <v>1.0002461670037017</v>
      </c>
      <c r="AY182" s="32">
        <f t="shared" si="191"/>
        <v>2.2186325329466655E-2</v>
      </c>
      <c r="AZ182" s="32" t="str">
        <f t="shared" si="166"/>
        <v>1+0.421609360214558i</v>
      </c>
      <c r="BA182" s="32">
        <f t="shared" si="192"/>
        <v>1.0852439599557921</v>
      </c>
      <c r="BB182" s="32">
        <f t="shared" si="193"/>
        <v>0.3989952433441592</v>
      </c>
      <c r="BC182" s="60" t="str">
        <f t="shared" si="194"/>
        <v>-0.653982421472775+1.65265072875259i</v>
      </c>
      <c r="BD182" s="51">
        <f t="shared" si="195"/>
        <v>4.9954239981751085</v>
      </c>
      <c r="BE182" s="63">
        <f t="shared" si="196"/>
        <v>111.58956068513297</v>
      </c>
      <c r="BF182" s="60" t="str">
        <f t="shared" si="197"/>
        <v>12.0563753812007+26.049741776387i</v>
      </c>
      <c r="BG182" s="66">
        <f t="shared" si="198"/>
        <v>29.15898345939538</v>
      </c>
      <c r="BH182" s="63">
        <f t="shared" si="199"/>
        <v>65.164295268736311</v>
      </c>
      <c r="BI182" s="60" t="e">
        <f t="shared" si="203"/>
        <v>#NUM!</v>
      </c>
      <c r="BJ182" s="66" t="e">
        <f t="shared" si="200"/>
        <v>#NUM!</v>
      </c>
      <c r="BK182" s="63" t="e">
        <f t="shared" si="204"/>
        <v>#NUM!</v>
      </c>
      <c r="BL182" s="51">
        <f t="shared" si="201"/>
        <v>29.15898345939538</v>
      </c>
      <c r="BM182" s="63">
        <f t="shared" si="202"/>
        <v>65.164295268736311</v>
      </c>
    </row>
    <row r="183" spans="14:65" x14ac:dyDescent="0.3">
      <c r="N183" s="11">
        <v>65</v>
      </c>
      <c r="O183" s="52">
        <f t="shared" si="154"/>
        <v>446.68359215096331</v>
      </c>
      <c r="P183" s="50" t="str">
        <f t="shared" si="155"/>
        <v>23.3035714285714</v>
      </c>
      <c r="Q183" s="18" t="str">
        <f t="shared" si="156"/>
        <v>1+1.06450168632754i</v>
      </c>
      <c r="R183" s="18">
        <f t="shared" si="167"/>
        <v>1.4605354635181498</v>
      </c>
      <c r="S183" s="18">
        <f t="shared" si="168"/>
        <v>0.81663122632075691</v>
      </c>
      <c r="T183" s="18" t="str">
        <f t="shared" si="157"/>
        <v>1+0.0049676745361952i</v>
      </c>
      <c r="U183" s="18">
        <f t="shared" si="169"/>
        <v>1.0000123388190254</v>
      </c>
      <c r="V183" s="18">
        <f t="shared" si="170"/>
        <v>4.9676336730567552E-3</v>
      </c>
      <c r="W183" s="32" t="str">
        <f t="shared" si="158"/>
        <v>1-0.00686056746994943i</v>
      </c>
      <c r="X183" s="18">
        <f t="shared" si="171"/>
        <v>1.0000235334160941</v>
      </c>
      <c r="Y183" s="18">
        <f t="shared" si="172"/>
        <v>-6.8604598366632389E-3</v>
      </c>
      <c r="Z183" s="32" t="str">
        <f t="shared" si="159"/>
        <v>0.999999201895074+0.00336714312595299i</v>
      </c>
      <c r="AA183" s="18">
        <f t="shared" si="173"/>
        <v>1.0000048707099458</v>
      </c>
      <c r="AB183" s="18">
        <f t="shared" si="174"/>
        <v>3.3671330881781484E-3</v>
      </c>
      <c r="AC183" s="68" t="str">
        <f t="shared" si="175"/>
        <v>10.8634346000477-11.6867235220121i</v>
      </c>
      <c r="AD183" s="66">
        <f t="shared" si="176"/>
        <v>24.058476833860976</v>
      </c>
      <c r="AE183" s="63">
        <f t="shared" si="177"/>
        <v>-47.090896152310009</v>
      </c>
      <c r="AF183" s="51" t="e">
        <f t="shared" si="178"/>
        <v>#NUM!</v>
      </c>
      <c r="AG183" s="51" t="str">
        <f t="shared" si="160"/>
        <v>1-1.49030236085856i</v>
      </c>
      <c r="AH183" s="51">
        <f t="shared" si="179"/>
        <v>1.7947147758851816</v>
      </c>
      <c r="AI183" s="51">
        <f t="shared" si="180"/>
        <v>-0.97979642782114362</v>
      </c>
      <c r="AJ183" s="51" t="str">
        <f t="shared" si="161"/>
        <v>1+0.0049676745361952i</v>
      </c>
      <c r="AK183" s="51">
        <f t="shared" si="181"/>
        <v>1.0000123388190254</v>
      </c>
      <c r="AL183" s="51">
        <f t="shared" si="182"/>
        <v>4.9676336730567552E-3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-0.000170731707317073</v>
      </c>
      <c r="AT183" s="32" t="str">
        <f t="shared" si="164"/>
        <v>0.000106650639760123i</v>
      </c>
      <c r="AU183" s="32">
        <f t="shared" si="188"/>
        <v>1.06650639760123E-4</v>
      </c>
      <c r="AV183" s="32">
        <f t="shared" si="189"/>
        <v>1.5707963267948966</v>
      </c>
      <c r="AW183" s="32" t="str">
        <f t="shared" si="165"/>
        <v>1+0.0227068370414489i</v>
      </c>
      <c r="AX183" s="32">
        <f t="shared" si="190"/>
        <v>1.0002577670022998</v>
      </c>
      <c r="AY183" s="32">
        <f t="shared" si="191"/>
        <v>2.2702935696511942E-2</v>
      </c>
      <c r="AZ183" s="32" t="str">
        <f t="shared" si="166"/>
        <v>1+0.431429903787529i</v>
      </c>
      <c r="BA183" s="32">
        <f t="shared" si="192"/>
        <v>1.0890967642418723</v>
      </c>
      <c r="BB183" s="32">
        <f t="shared" si="193"/>
        <v>0.40730420354955438</v>
      </c>
      <c r="BC183" s="60" t="str">
        <f t="shared" si="194"/>
        <v>-0.653967253080319+1.61569981529946i</v>
      </c>
      <c r="BD183" s="51">
        <f t="shared" si="195"/>
        <v>4.826105073869444</v>
      </c>
      <c r="BE183" s="63">
        <f t="shared" si="196"/>
        <v>112.03602944335978</v>
      </c>
      <c r="BF183" s="60" t="str">
        <f t="shared" si="197"/>
        <v>11.7779065515599+25.1947837560142i</v>
      </c>
      <c r="BG183" s="66">
        <f t="shared" si="198"/>
        <v>28.884581907730407</v>
      </c>
      <c r="BH183" s="63">
        <f t="shared" si="199"/>
        <v>64.945133291049785</v>
      </c>
      <c r="BI183" s="60" t="e">
        <f t="shared" si="203"/>
        <v>#NUM!</v>
      </c>
      <c r="BJ183" s="66" t="e">
        <f t="shared" si="200"/>
        <v>#NUM!</v>
      </c>
      <c r="BK183" s="63" t="e">
        <f t="shared" si="204"/>
        <v>#NUM!</v>
      </c>
      <c r="BL183" s="51">
        <f t="shared" si="201"/>
        <v>28.884581907730407</v>
      </c>
      <c r="BM183" s="63">
        <f t="shared" si="202"/>
        <v>64.945133291049785</v>
      </c>
    </row>
    <row r="184" spans="14:65" x14ac:dyDescent="0.3">
      <c r="N184" s="11">
        <v>66</v>
      </c>
      <c r="O184" s="52">
        <f t="shared" ref="O184:O218" si="205">10^(2+(N184/100))</f>
        <v>457.0881896148756</v>
      </c>
      <c r="P184" s="50" t="str">
        <f t="shared" si="155"/>
        <v>23.3035714285714</v>
      </c>
      <c r="Q184" s="18" t="str">
        <f t="shared" si="156"/>
        <v>1+1.08929711589002i</v>
      </c>
      <c r="R184" s="18">
        <f t="shared" si="167"/>
        <v>1.4787049085893762</v>
      </c>
      <c r="S184" s="18">
        <f t="shared" si="168"/>
        <v>0.82811243357517117</v>
      </c>
      <c r="T184" s="18" t="str">
        <f t="shared" si="157"/>
        <v>1+0.0050833865408201i</v>
      </c>
      <c r="U184" s="18">
        <f t="shared" si="169"/>
        <v>1.0000129203258943</v>
      </c>
      <c r="V184" s="18">
        <f t="shared" si="170"/>
        <v>5.0833427552089373E-3</v>
      </c>
      <c r="W184" s="32" t="str">
        <f t="shared" si="158"/>
        <v>1-0.00702037061506856i</v>
      </c>
      <c r="X184" s="18">
        <f t="shared" si="171"/>
        <v>1.00002464249816</v>
      </c>
      <c r="Y184" s="18">
        <f t="shared" si="172"/>
        <v>-7.0202552840780124E-3</v>
      </c>
      <c r="Z184" s="32" t="str">
        <f t="shared" si="159"/>
        <v>0.999999164281548+0.003445573964794i</v>
      </c>
      <c r="AA184" s="18">
        <f t="shared" si="173"/>
        <v>1.0000051002588641</v>
      </c>
      <c r="AB184" s="18">
        <f t="shared" si="174"/>
        <v>3.445563209127415E-3</v>
      </c>
      <c r="AC184" s="68" t="str">
        <f t="shared" si="175"/>
        <v>10.5953040836434-11.6668685542787i</v>
      </c>
      <c r="AD184" s="66">
        <f t="shared" si="176"/>
        <v>23.951101365858165</v>
      </c>
      <c r="AE184" s="63">
        <f t="shared" si="177"/>
        <v>-47.755740549283587</v>
      </c>
      <c r="AF184" s="51" t="e">
        <f t="shared" si="178"/>
        <v>#NUM!</v>
      </c>
      <c r="AG184" s="51" t="str">
        <f t="shared" si="160"/>
        <v>1-1.52501596224603i</v>
      </c>
      <c r="AH184" s="51">
        <f t="shared" si="179"/>
        <v>1.823642970843028</v>
      </c>
      <c r="AI184" s="51">
        <f t="shared" si="180"/>
        <v>-0.99040293913917465</v>
      </c>
      <c r="AJ184" s="51" t="str">
        <f t="shared" si="161"/>
        <v>1+0.0050833865408201i</v>
      </c>
      <c r="AK184" s="51">
        <f t="shared" si="181"/>
        <v>1.0000129203258943</v>
      </c>
      <c r="AL184" s="51">
        <f t="shared" si="182"/>
        <v>5.0833427552089373E-3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-0.000170731707317073</v>
      </c>
      <c r="AT184" s="32" t="str">
        <f t="shared" si="164"/>
        <v>0.000109134852288793i</v>
      </c>
      <c r="AU184" s="32">
        <f t="shared" si="188"/>
        <v>1.09134852288793E-4</v>
      </c>
      <c r="AV184" s="32">
        <f t="shared" si="189"/>
        <v>1.5707963267948966</v>
      </c>
      <c r="AW184" s="32" t="str">
        <f t="shared" si="165"/>
        <v>1+0.0232357472213757i</v>
      </c>
      <c r="AX184" s="32">
        <f t="shared" si="190"/>
        <v>1.0002699135478061</v>
      </c>
      <c r="AY184" s="32">
        <f t="shared" si="191"/>
        <v>2.3231566915880766E-2</v>
      </c>
      <c r="AZ184" s="32" t="str">
        <f t="shared" si="166"/>
        <v>1+0.441479197206139i</v>
      </c>
      <c r="BA184" s="32">
        <f t="shared" si="192"/>
        <v>1.0931165910211851</v>
      </c>
      <c r="BB184" s="32">
        <f t="shared" si="193"/>
        <v>0.41574547236657899</v>
      </c>
      <c r="BC184" s="60" t="str">
        <f t="shared" si="194"/>
        <v>-0.653951370577683+1.57960553481901i</v>
      </c>
      <c r="BD184" s="51">
        <f t="shared" si="195"/>
        <v>4.6579999625250919</v>
      </c>
      <c r="BE184" s="63">
        <f t="shared" si="196"/>
        <v>112.48939018252199</v>
      </c>
      <c r="BF184" s="60" t="str">
        <f t="shared" si="197"/>
        <v>11.5002365151586+24.3659656550338i</v>
      </c>
      <c r="BG184" s="66">
        <f t="shared" si="198"/>
        <v>28.609101328383257</v>
      </c>
      <c r="BH184" s="63">
        <f t="shared" si="199"/>
        <v>64.733649633238358</v>
      </c>
      <c r="BI184" s="60" t="e">
        <f t="shared" si="203"/>
        <v>#NUM!</v>
      </c>
      <c r="BJ184" s="66" t="e">
        <f t="shared" si="200"/>
        <v>#NUM!</v>
      </c>
      <c r="BK184" s="63" t="e">
        <f t="shared" si="204"/>
        <v>#NUM!</v>
      </c>
      <c r="BL184" s="51">
        <f t="shared" si="201"/>
        <v>28.609101328383257</v>
      </c>
      <c r="BM184" s="63">
        <f t="shared" si="202"/>
        <v>64.733649633238358</v>
      </c>
    </row>
    <row r="185" spans="14:65" x14ac:dyDescent="0.3">
      <c r="N185" s="11">
        <v>67</v>
      </c>
      <c r="O185" s="52">
        <f t="shared" si="205"/>
        <v>467.7351412871983</v>
      </c>
      <c r="P185" s="50" t="str">
        <f t="shared" si="155"/>
        <v>23.3035714285714</v>
      </c>
      <c r="Q185" s="18" t="str">
        <f t="shared" si="156"/>
        <v>1+1.11467010520189i</v>
      </c>
      <c r="R185" s="18">
        <f t="shared" si="167"/>
        <v>1.4974943884471796</v>
      </c>
      <c r="S185" s="18">
        <f t="shared" si="168"/>
        <v>0.83957110911625243</v>
      </c>
      <c r="T185" s="18" t="str">
        <f t="shared" si="157"/>
        <v>1+0.00520179382427551i</v>
      </c>
      <c r="U185" s="18">
        <f t="shared" si="169"/>
        <v>1.000013529237975</v>
      </c>
      <c r="V185" s="18">
        <f t="shared" si="170"/>
        <v>5.2017469071821403E-3</v>
      </c>
      <c r="W185" s="32" t="str">
        <f t="shared" si="158"/>
        <v>1-0.00718389605361338i</v>
      </c>
      <c r="X185" s="18">
        <f t="shared" si="171"/>
        <v>1.0000258038483352</v>
      </c>
      <c r="Y185" s="18">
        <f t="shared" si="172"/>
        <v>-7.1837724744027356E-3</v>
      </c>
      <c r="Z185" s="32" t="str">
        <f t="shared" si="159"/>
        <v>0.99999912489535+0.00352583169255872i</v>
      </c>
      <c r="AA185" s="18">
        <f t="shared" si="173"/>
        <v>1.0000053406260341</v>
      </c>
      <c r="AB185" s="18">
        <f t="shared" si="174"/>
        <v>3.5258201676576363E-3</v>
      </c>
      <c r="AC185" s="68" t="str">
        <f t="shared" si="175"/>
        <v>10.3282248902774-11.6409197155536i</v>
      </c>
      <c r="AD185" s="66">
        <f t="shared" si="176"/>
        <v>23.841440871858175</v>
      </c>
      <c r="AE185" s="63">
        <f t="shared" si="177"/>
        <v>-48.419457468296578</v>
      </c>
      <c r="AF185" s="51" t="e">
        <f t="shared" si="178"/>
        <v>#NUM!</v>
      </c>
      <c r="AG185" s="51" t="str">
        <f t="shared" si="160"/>
        <v>1-1.56053814728265i</v>
      </c>
      <c r="AH185" s="51">
        <f t="shared" si="179"/>
        <v>1.853450649228181</v>
      </c>
      <c r="AI185" s="51">
        <f t="shared" si="180"/>
        <v>-1.0009125545368951</v>
      </c>
      <c r="AJ185" s="51" t="str">
        <f t="shared" si="161"/>
        <v>1+0.00520179382427551i</v>
      </c>
      <c r="AK185" s="51">
        <f t="shared" si="181"/>
        <v>1.000013529237975</v>
      </c>
      <c r="AL185" s="51">
        <f t="shared" si="182"/>
        <v>5.2017469071821403E-3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-0.000170731707317073</v>
      </c>
      <c r="AT185" s="32" t="str">
        <f t="shared" si="164"/>
        <v>0.000111676929560717i</v>
      </c>
      <c r="AU185" s="32">
        <f t="shared" si="188"/>
        <v>1.1167692956071699E-4</v>
      </c>
      <c r="AV185" s="32">
        <f t="shared" si="189"/>
        <v>1.5707963267948966</v>
      </c>
      <c r="AW185" s="32" t="str">
        <f t="shared" si="165"/>
        <v>1+0.0237769773020407i</v>
      </c>
      <c r="AX185" s="32">
        <f t="shared" si="190"/>
        <v>1.0002826323842786</v>
      </c>
      <c r="AY185" s="32">
        <f t="shared" si="191"/>
        <v>2.3772498092353603E-2</v>
      </c>
      <c r="AZ185" s="32" t="str">
        <f t="shared" si="166"/>
        <v>1+0.451762568738774i</v>
      </c>
      <c r="BA185" s="32">
        <f t="shared" si="192"/>
        <v>1.0973100831184663</v>
      </c>
      <c r="BB185" s="32">
        <f t="shared" si="193"/>
        <v>0.42431871255634496</v>
      </c>
      <c r="BC185" s="60" t="str">
        <f t="shared" si="194"/>
        <v>-0.653934740382587+1.5443487473273i</v>
      </c>
      <c r="BD185" s="51">
        <f t="shared" si="195"/>
        <v>4.4911471980430164</v>
      </c>
      <c r="BE185" s="63">
        <f t="shared" si="196"/>
        <v>112.94960758872861</v>
      </c>
      <c r="BF185" s="60" t="str">
        <f t="shared" si="197"/>
        <v>11.2236547182163+23.5627829834196i</v>
      </c>
      <c r="BG185" s="66">
        <f t="shared" si="198"/>
        <v>28.332588069901178</v>
      </c>
      <c r="BH185" s="63">
        <f t="shared" si="199"/>
        <v>64.530150120432097</v>
      </c>
      <c r="BI185" s="60" t="e">
        <f t="shared" si="203"/>
        <v>#NUM!</v>
      </c>
      <c r="BJ185" s="66" t="e">
        <f t="shared" si="200"/>
        <v>#NUM!</v>
      </c>
      <c r="BK185" s="63" t="e">
        <f t="shared" si="204"/>
        <v>#NUM!</v>
      </c>
      <c r="BL185" s="51">
        <f t="shared" si="201"/>
        <v>28.332588069901178</v>
      </c>
      <c r="BM185" s="63">
        <f t="shared" si="202"/>
        <v>64.530150120432097</v>
      </c>
    </row>
    <row r="186" spans="14:65" x14ac:dyDescent="0.3">
      <c r="N186" s="11">
        <v>68</v>
      </c>
      <c r="O186" s="52">
        <f t="shared" si="205"/>
        <v>478.63009232263886</v>
      </c>
      <c r="P186" s="50" t="str">
        <f t="shared" si="155"/>
        <v>23.3035714285714</v>
      </c>
      <c r="Q186" s="18" t="str">
        <f t="shared" si="156"/>
        <v>1+1.14063410735795i</v>
      </c>
      <c r="R186" s="18">
        <f t="shared" si="167"/>
        <v>1.5169199606005146</v>
      </c>
      <c r="S186" s="18">
        <f t="shared" si="168"/>
        <v>0.85100129316692252</v>
      </c>
      <c r="T186" s="18" t="str">
        <f t="shared" si="157"/>
        <v>1+0.00532295916767043i</v>
      </c>
      <c r="U186" s="18">
        <f t="shared" si="169"/>
        <v>1.0000141668468006</v>
      </c>
      <c r="V186" s="18">
        <f t="shared" si="170"/>
        <v>5.3229088951376024E-3</v>
      </c>
      <c r="W186" s="32" t="str">
        <f t="shared" si="158"/>
        <v>1-0.00735123048893594i</v>
      </c>
      <c r="X186" s="18">
        <f t="shared" si="171"/>
        <v>1.0000270199298125</v>
      </c>
      <c r="Y186" s="18">
        <f t="shared" si="172"/>
        <v>-7.3510980716192413E-3</v>
      </c>
      <c r="Z186" s="32" t="str">
        <f t="shared" si="159"/>
        <v>0.999999083652939+0.00360795886295673i</v>
      </c>
      <c r="AA186" s="18">
        <f t="shared" si="173"/>
        <v>1.0000055923213003</v>
      </c>
      <c r="AB186" s="18">
        <f t="shared" si="174"/>
        <v>3.6079465138064287E-3</v>
      </c>
      <c r="AC186" s="68" t="str">
        <f t="shared" si="175"/>
        <v>10.0624721456611-11.6089450040014i</v>
      </c>
      <c r="AD186" s="66">
        <f t="shared" si="176"/>
        <v>23.729505537055935</v>
      </c>
      <c r="AE186" s="63">
        <f t="shared" si="177"/>
        <v>-49.081709246456413</v>
      </c>
      <c r="AF186" s="51" t="e">
        <f t="shared" si="178"/>
        <v>#NUM!</v>
      </c>
      <c r="AG186" s="51" t="str">
        <f t="shared" si="160"/>
        <v>1-1.59688775030113i</v>
      </c>
      <c r="AH186" s="51">
        <f t="shared" si="179"/>
        <v>1.8841577659691355</v>
      </c>
      <c r="AI186" s="51">
        <f t="shared" si="180"/>
        <v>-1.0113215596808307</v>
      </c>
      <c r="AJ186" s="51" t="str">
        <f t="shared" si="161"/>
        <v>1+0.00532295916767043i</v>
      </c>
      <c r="AK186" s="51">
        <f t="shared" si="181"/>
        <v>1.0000141668468006</v>
      </c>
      <c r="AL186" s="51">
        <f t="shared" si="182"/>
        <v>5.3229088951376024E-3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-0.000170731707317073</v>
      </c>
      <c r="AT186" s="32" t="str">
        <f t="shared" si="164"/>
        <v>0.000114278219418913i</v>
      </c>
      <c r="AU186" s="32">
        <f t="shared" si="188"/>
        <v>1.14278219418913E-4</v>
      </c>
      <c r="AV186" s="32">
        <f t="shared" si="189"/>
        <v>1.5707963267948966</v>
      </c>
      <c r="AW186" s="32" t="str">
        <f t="shared" si="165"/>
        <v>1+0.0243308142507968i</v>
      </c>
      <c r="AX186" s="32">
        <f t="shared" si="190"/>
        <v>1.0002959504677138</v>
      </c>
      <c r="AY186" s="32">
        <f t="shared" si="191"/>
        <v>2.4326014767834799E-2</v>
      </c>
      <c r="AZ186" s="32" t="str">
        <f t="shared" si="166"/>
        <v>1+0.462285470765141i</v>
      </c>
      <c r="BA186" s="32">
        <f t="shared" si="192"/>
        <v>1.1016841001305901</v>
      </c>
      <c r="BB186" s="32">
        <f t="shared" si="193"/>
        <v>0.43302342762582102</v>
      </c>
      <c r="BC186" s="60" t="str">
        <f t="shared" si="194"/>
        <v>-0.653917327337075+1.50991075672473i</v>
      </c>
      <c r="BD186" s="51">
        <f t="shared" si="195"/>
        <v>4.3255857855149866</v>
      </c>
      <c r="BE186" s="63">
        <f t="shared" si="196"/>
        <v>113.41663685467829</v>
      </c>
      <c r="BF186" s="60" t="str">
        <f t="shared" si="197"/>
        <v>10.9484460438731+22.7847252221964i</v>
      </c>
      <c r="BG186" s="66">
        <f t="shared" si="198"/>
        <v>28.055091322570945</v>
      </c>
      <c r="BH186" s="63">
        <f t="shared" si="199"/>
        <v>64.334927608221832</v>
      </c>
      <c r="BI186" s="60" t="e">
        <f t="shared" si="203"/>
        <v>#NUM!</v>
      </c>
      <c r="BJ186" s="66" t="e">
        <f t="shared" si="200"/>
        <v>#NUM!</v>
      </c>
      <c r="BK186" s="63" t="e">
        <f t="shared" si="204"/>
        <v>#NUM!</v>
      </c>
      <c r="BL186" s="51">
        <f t="shared" si="201"/>
        <v>28.055091322570945</v>
      </c>
      <c r="BM186" s="63">
        <f t="shared" si="202"/>
        <v>64.334927608221832</v>
      </c>
    </row>
    <row r="187" spans="14:65" x14ac:dyDescent="0.3">
      <c r="N187" s="11">
        <v>69</v>
      </c>
      <c r="O187" s="52">
        <f t="shared" si="205"/>
        <v>489.77881936844625</v>
      </c>
      <c r="P187" s="50" t="str">
        <f t="shared" si="155"/>
        <v>23.3035714285714</v>
      </c>
      <c r="Q187" s="18" t="str">
        <f t="shared" si="156"/>
        <v>1+1.1672028888158i</v>
      </c>
      <c r="R187" s="18">
        <f t="shared" si="167"/>
        <v>1.536997912705137</v>
      </c>
      <c r="S187" s="18">
        <f t="shared" si="168"/>
        <v>0.86239710035741601</v>
      </c>
      <c r="T187" s="18" t="str">
        <f t="shared" si="157"/>
        <v>1+0.00544694681447376i</v>
      </c>
      <c r="U187" s="18">
        <f t="shared" si="169"/>
        <v>1.0000148345047686</v>
      </c>
      <c r="V187" s="18">
        <f t="shared" si="170"/>
        <v>5.446892946527471E-3</v>
      </c>
      <c r="W187" s="32" t="str">
        <f t="shared" si="158"/>
        <v>1-0.00752246264396878i</v>
      </c>
      <c r="X187" s="18">
        <f t="shared" si="171"/>
        <v>1.0000282933218589</v>
      </c>
      <c r="Y187" s="18">
        <f t="shared" si="172"/>
        <v>-7.5223207564744004E-3</v>
      </c>
      <c r="Z187" s="32" t="str">
        <f t="shared" si="159"/>
        <v>0.999999040466832+0.00369199902090086i</v>
      </c>
      <c r="AA187" s="18">
        <f t="shared" si="173"/>
        <v>1.0000058558785319</v>
      </c>
      <c r="AB187" s="18">
        <f t="shared" si="174"/>
        <v>3.6919857885520648E-3</v>
      </c>
      <c r="AC187" s="68" t="str">
        <f t="shared" si="175"/>
        <v>9.79831545418827-11.5710277027079i</v>
      </c>
      <c r="AD187" s="66">
        <f t="shared" si="176"/>
        <v>23.6153078748338</v>
      </c>
      <c r="AE187" s="63">
        <f t="shared" si="177"/>
        <v>-49.742162572700231</v>
      </c>
      <c r="AF187" s="51" t="e">
        <f t="shared" si="178"/>
        <v>#NUM!</v>
      </c>
      <c r="AG187" s="51" t="str">
        <f t="shared" si="160"/>
        <v>1-1.63408404434213i</v>
      </c>
      <c r="AH187" s="51">
        <f t="shared" si="179"/>
        <v>1.9157846079279195</v>
      </c>
      <c r="AI187" s="51">
        <f t="shared" si="180"/>
        <v>-1.0216264509610256</v>
      </c>
      <c r="AJ187" s="51" t="str">
        <f t="shared" si="161"/>
        <v>1+0.00544694681447376i</v>
      </c>
      <c r="AK187" s="51">
        <f t="shared" si="181"/>
        <v>1.0000148345047686</v>
      </c>
      <c r="AL187" s="51">
        <f t="shared" si="182"/>
        <v>5.446892946527471E-3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-0.000170731707317073</v>
      </c>
      <c r="AT187" s="32" t="str">
        <f t="shared" si="164"/>
        <v>0.000116940101101696i</v>
      </c>
      <c r="AU187" s="32">
        <f t="shared" si="188"/>
        <v>1.16940101101696E-4</v>
      </c>
      <c r="AV187" s="32">
        <f t="shared" si="189"/>
        <v>1.5707963267948966</v>
      </c>
      <c r="AW187" s="32" t="str">
        <f t="shared" si="165"/>
        <v>1+0.0248975517193251i</v>
      </c>
      <c r="AX187" s="32">
        <f t="shared" si="190"/>
        <v>1.0003098960230357</v>
      </c>
      <c r="AY187" s="32">
        <f t="shared" si="191"/>
        <v>2.4892409066720324E-2</v>
      </c>
      <c r="AZ187" s="32" t="str">
        <f t="shared" si="166"/>
        <v>1+0.473053482667178i</v>
      </c>
      <c r="BA187" s="32">
        <f t="shared" si="192"/>
        <v>1.1062457220091502</v>
      </c>
      <c r="BB187" s="32">
        <f t="shared" si="193"/>
        <v>0.44185895530498842</v>
      </c>
      <c r="BC187" s="60" t="str">
        <f t="shared" si="194"/>
        <v>-0.653899094633922+1.47627330087132i</v>
      </c>
      <c r="BD187" s="51">
        <f t="shared" si="195"/>
        <v>4.1613551454862678</v>
      </c>
      <c r="BE187" s="63">
        <f t="shared" si="196"/>
        <v>113.89042329759924</v>
      </c>
      <c r="BF187" s="60" t="str">
        <f t="shared" si="197"/>
        <v>10.6748896567188+22.0312760373177i</v>
      </c>
      <c r="BG187" s="66">
        <f t="shared" si="198"/>
        <v>27.776663020320065</v>
      </c>
      <c r="BH187" s="63">
        <f t="shared" si="199"/>
        <v>64.148260724899018</v>
      </c>
      <c r="BI187" s="60" t="e">
        <f t="shared" si="203"/>
        <v>#NUM!</v>
      </c>
      <c r="BJ187" s="66" t="e">
        <f t="shared" si="200"/>
        <v>#NUM!</v>
      </c>
      <c r="BK187" s="63" t="e">
        <f t="shared" si="204"/>
        <v>#NUM!</v>
      </c>
      <c r="BL187" s="51">
        <f t="shared" si="201"/>
        <v>27.776663020320065</v>
      </c>
      <c r="BM187" s="63">
        <f t="shared" si="202"/>
        <v>64.148260724899018</v>
      </c>
    </row>
    <row r="188" spans="14:65" x14ac:dyDescent="0.3">
      <c r="N188" s="11">
        <v>70</v>
      </c>
      <c r="O188" s="52">
        <f t="shared" si="205"/>
        <v>501.18723362727269</v>
      </c>
      <c r="P188" s="50" t="str">
        <f t="shared" si="155"/>
        <v>23.3035714285714</v>
      </c>
      <c r="Q188" s="18" t="str">
        <f t="shared" si="156"/>
        <v>1+1.19439053669506i</v>
      </c>
      <c r="R188" s="18">
        <f t="shared" si="167"/>
        <v>1.5577447654050112</v>
      </c>
      <c r="S188" s="18">
        <f t="shared" si="168"/>
        <v>0.87375273450349966</v>
      </c>
      <c r="T188" s="18" t="str">
        <f t="shared" si="157"/>
        <v>1+0.00557382250457697i</v>
      </c>
      <c r="U188" s="18">
        <f t="shared" si="169"/>
        <v>1.0000155336280094</v>
      </c>
      <c r="V188" s="18">
        <f t="shared" si="170"/>
        <v>5.5737647840810103E-3</v>
      </c>
      <c r="W188" s="32" t="str">
        <f t="shared" si="158"/>
        <v>1-0.00769768330826699i</v>
      </c>
      <c r="X188" s="18">
        <f t="shared" si="171"/>
        <v>1.0000296267252857</v>
      </c>
      <c r="Y188" s="18">
        <f t="shared" si="172"/>
        <v>-7.6975312733208552E-3</v>
      </c>
      <c r="Z188" s="32" t="str">
        <f t="shared" si="159"/>
        <v>0.999998995245427+0.00377799672559525i</v>
      </c>
      <c r="AA188" s="18">
        <f t="shared" si="173"/>
        <v>1.0000061318567612</v>
      </c>
      <c r="AB188" s="18">
        <f t="shared" si="174"/>
        <v>3.7779825468827236E-3</v>
      </c>
      <c r="AC188" s="68" t="str">
        <f t="shared" si="175"/>
        <v>9.53601783163772-11.5272658553544i</v>
      </c>
      <c r="AD188" s="66">
        <f t="shared" si="176"/>
        <v>23.498862675075877</v>
      </c>
      <c r="AE188" s="63">
        <f t="shared" si="177"/>
        <v>-50.400489336580485</v>
      </c>
      <c r="AF188" s="51" t="e">
        <f t="shared" si="178"/>
        <v>#NUM!</v>
      </c>
      <c r="AG188" s="51" t="str">
        <f t="shared" si="160"/>
        <v>1-1.67214675137309i</v>
      </c>
      <c r="AH188" s="51">
        <f t="shared" si="179"/>
        <v>1.948351805533995</v>
      </c>
      <c r="AI188" s="51">
        <f t="shared" si="180"/>
        <v>-1.0318239375116043</v>
      </c>
      <c r="AJ188" s="51" t="str">
        <f t="shared" si="161"/>
        <v>1+0.00557382250457697i</v>
      </c>
      <c r="AK188" s="51">
        <f t="shared" si="181"/>
        <v>1.0000155336280094</v>
      </c>
      <c r="AL188" s="51">
        <f t="shared" si="182"/>
        <v>5.5737647840810103E-3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-0.000170731707317073</v>
      </c>
      <c r="AT188" s="32" t="str">
        <f t="shared" si="164"/>
        <v>0.000119663985973969i</v>
      </c>
      <c r="AU188" s="32">
        <f t="shared" si="188"/>
        <v>1.19663985973969E-4</v>
      </c>
      <c r="AV188" s="32">
        <f t="shared" si="189"/>
        <v>1.5707963267948966</v>
      </c>
      <c r="AW188" s="32" t="str">
        <f t="shared" si="165"/>
        <v>1+0.025477490199333i</v>
      </c>
      <c r="AX188" s="32">
        <f t="shared" si="190"/>
        <v>1.0003244986037567</v>
      </c>
      <c r="AY188" s="32">
        <f t="shared" si="191"/>
        <v>2.5471979844326063E-2</v>
      </c>
      <c r="AZ188" s="32" t="str">
        <f t="shared" si="166"/>
        <v>1+0.484072313787328i</v>
      </c>
      <c r="BA188" s="32">
        <f t="shared" si="192"/>
        <v>1.111002252461901</v>
      </c>
      <c r="BB188" s="32">
        <f t="shared" si="193"/>
        <v>0.4508244612191073</v>
      </c>
      <c r="BC188" s="60" t="str">
        <f t="shared" si="194"/>
        <v>-0.65388000373965+1.44341854189126i</v>
      </c>
      <c r="BD188" s="51">
        <f t="shared" si="195"/>
        <v>3.9984950532747252</v>
      </c>
      <c r="BE188" s="63">
        <f t="shared" si="196"/>
        <v>114.37090198819186</v>
      </c>
      <c r="BF188" s="60" t="str">
        <f t="shared" si="197"/>
        <v>10.4032578975159+21.3019135945986i</v>
      </c>
      <c r="BG188" s="66">
        <f t="shared" si="198"/>
        <v>27.49735772835059</v>
      </c>
      <c r="BH188" s="63">
        <f t="shared" si="199"/>
        <v>63.970412651611376</v>
      </c>
      <c r="BI188" s="60" t="e">
        <f t="shared" si="203"/>
        <v>#NUM!</v>
      </c>
      <c r="BJ188" s="66" t="e">
        <f t="shared" si="200"/>
        <v>#NUM!</v>
      </c>
      <c r="BK188" s="63" t="e">
        <f t="shared" si="204"/>
        <v>#NUM!</v>
      </c>
      <c r="BL188" s="51">
        <f t="shared" si="201"/>
        <v>27.49735772835059</v>
      </c>
      <c r="BM188" s="63">
        <f t="shared" si="202"/>
        <v>63.970412651611376</v>
      </c>
    </row>
    <row r="189" spans="14:65" x14ac:dyDescent="0.3">
      <c r="N189" s="11">
        <v>71</v>
      </c>
      <c r="O189" s="52">
        <f t="shared" si="205"/>
        <v>512.86138399136519</v>
      </c>
      <c r="P189" s="50" t="str">
        <f t="shared" si="155"/>
        <v>23.3035714285714</v>
      </c>
      <c r="Q189" s="18" t="str">
        <f t="shared" si="156"/>
        <v>1+1.22221146624651i</v>
      </c>
      <c r="R189" s="18">
        <f t="shared" si="167"/>
        <v>1.5791772757434308</v>
      </c>
      <c r="S189" s="18">
        <f t="shared" si="168"/>
        <v>0.88506250282610832</v>
      </c>
      <c r="T189" s="18" t="str">
        <f t="shared" si="157"/>
        <v>1+0.00570365350915037i</v>
      </c>
      <c r="U189" s="18">
        <f t="shared" si="169"/>
        <v>1.0000162656993898</v>
      </c>
      <c r="V189" s="18">
        <f t="shared" si="170"/>
        <v>5.7035916605789744E-3</v>
      </c>
      <c r="W189" s="32" t="str">
        <f t="shared" si="158"/>
        <v>1-0.00787698538614614i</v>
      </c>
      <c r="X189" s="18">
        <f t="shared" si="171"/>
        <v>1.0000310229681746</v>
      </c>
      <c r="Y189" s="18">
        <f t="shared" si="172"/>
        <v>-7.8768224780392318E-3</v>
      </c>
      <c r="Z189" s="32" t="str">
        <f t="shared" si="159"/>
        <v>0.999998947892803+0.00386599757416125i</v>
      </c>
      <c r="AA189" s="18">
        <f t="shared" si="173"/>
        <v>1.0000064208413646</v>
      </c>
      <c r="AB189" s="18">
        <f t="shared" si="174"/>
        <v>3.8659823814022839E-3</v>
      </c>
      <c r="AC189" s="68" t="str">
        <f t="shared" si="175"/>
        <v>9.27583469506097-11.4777716555218i</v>
      </c>
      <c r="AD189" s="66">
        <f t="shared" si="176"/>
        <v>23.380186943607455</v>
      </c>
      <c r="AE189" s="63">
        <f t="shared" si="177"/>
        <v>-51.056367445096029</v>
      </c>
      <c r="AF189" s="51" t="e">
        <f t="shared" si="178"/>
        <v>#NUM!</v>
      </c>
      <c r="AG189" s="51" t="str">
        <f t="shared" si="160"/>
        <v>1-1.71109605274511i</v>
      </c>
      <c r="AH189" s="51">
        <f t="shared" si="179"/>
        <v>1.9818803449552389</v>
      </c>
      <c r="AI189" s="51">
        <f t="shared" si="180"/>
        <v>-1.0419109423239965</v>
      </c>
      <c r="AJ189" s="51" t="str">
        <f t="shared" si="161"/>
        <v>1+0.00570365350915037i</v>
      </c>
      <c r="AK189" s="51">
        <f t="shared" si="181"/>
        <v>1.0000162656993898</v>
      </c>
      <c r="AL189" s="51">
        <f t="shared" si="182"/>
        <v>5.7035916605789744E-3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-0.000170731707317073</v>
      </c>
      <c r="AT189" s="32" t="str">
        <f t="shared" si="164"/>
        <v>0.000122451318275545i</v>
      </c>
      <c r="AU189" s="32">
        <f t="shared" si="188"/>
        <v>1.2245131827554501E-4</v>
      </c>
      <c r="AV189" s="32">
        <f t="shared" si="189"/>
        <v>1.5707963267948966</v>
      </c>
      <c r="AW189" s="32" t="str">
        <f t="shared" si="165"/>
        <v>1+0.0260709371818791i</v>
      </c>
      <c r="AX189" s="32">
        <f t="shared" si="190"/>
        <v>1.0003397891544361</v>
      </c>
      <c r="AY189" s="32">
        <f t="shared" si="191"/>
        <v>2.6065032838424602E-2</v>
      </c>
      <c r="AZ189" s="32" t="str">
        <f t="shared" si="166"/>
        <v>1+0.495347806455703i</v>
      </c>
      <c r="BA189" s="32">
        <f t="shared" si="192"/>
        <v>1.1159612221580446</v>
      </c>
      <c r="BB189" s="32">
        <f t="shared" si="193"/>
        <v>0.4599189328039367</v>
      </c>
      <c r="BC189" s="60" t="str">
        <f t="shared" si="194"/>
        <v>-0.653860014313996+1.41132905670148i</v>
      </c>
      <c r="BD189" s="51">
        <f t="shared" si="195"/>
        <v>3.8370455733064861</v>
      </c>
      <c r="BE189" s="63">
        <f t="shared" si="196"/>
        <v>114.85799739331492</v>
      </c>
      <c r="BF189" s="60" t="str">
        <f t="shared" si="197"/>
        <v>10.1338152371357+20.5961109692715i</v>
      </c>
      <c r="BG189" s="66">
        <f t="shared" si="198"/>
        <v>27.217232516913931</v>
      </c>
      <c r="BH189" s="63">
        <f t="shared" si="199"/>
        <v>63.801629948218959</v>
      </c>
      <c r="BI189" s="60" t="e">
        <f t="shared" si="203"/>
        <v>#NUM!</v>
      </c>
      <c r="BJ189" s="66" t="e">
        <f t="shared" si="200"/>
        <v>#NUM!</v>
      </c>
      <c r="BK189" s="63" t="e">
        <f t="shared" si="204"/>
        <v>#NUM!</v>
      </c>
      <c r="BL189" s="51">
        <f t="shared" si="201"/>
        <v>27.217232516913931</v>
      </c>
      <c r="BM189" s="63">
        <f t="shared" si="202"/>
        <v>63.801629948218959</v>
      </c>
    </row>
    <row r="190" spans="14:65" x14ac:dyDescent="0.3">
      <c r="N190" s="11">
        <v>72</v>
      </c>
      <c r="O190" s="52">
        <f t="shared" si="205"/>
        <v>524.80746024977248</v>
      </c>
      <c r="P190" s="50" t="str">
        <f t="shared" si="155"/>
        <v>23.3035714285714</v>
      </c>
      <c r="Q190" s="18" t="str">
        <f t="shared" si="156"/>
        <v>1+1.25068042849524i</v>
      </c>
      <c r="R190" s="18">
        <f t="shared" si="167"/>
        <v>1.6013124411622601</v>
      </c>
      <c r="S190" s="18">
        <f t="shared" si="168"/>
        <v>0.89632082953090131</v>
      </c>
      <c r="T190" s="18" t="str">
        <f t="shared" si="157"/>
        <v>1+0.00583650866631111i</v>
      </c>
      <c r="U190" s="18">
        <f t="shared" si="169"/>
        <v>1.0000170322716568</v>
      </c>
      <c r="V190" s="18">
        <f t="shared" si="170"/>
        <v>5.8364423944338205E-3</v>
      </c>
      <c r="W190" s="32" t="str">
        <f t="shared" si="158"/>
        <v>1-0.00806046394594127i</v>
      </c>
      <c r="X190" s="18">
        <f t="shared" si="171"/>
        <v>1.000032485011874</v>
      </c>
      <c r="Y190" s="18">
        <f t="shared" si="172"/>
        <v>-8.0602893870659869E-3</v>
      </c>
      <c r="Z190" s="32" t="str">
        <f t="shared" si="159"/>
        <v>0.999998898308519+0.00395604822581361i</v>
      </c>
      <c r="AA190" s="18">
        <f t="shared" si="173"/>
        <v>1.0000067234453058</v>
      </c>
      <c r="AB190" s="18">
        <f t="shared" si="174"/>
        <v>3.9560319464849438E-3</v>
      </c>
      <c r="AC190" s="68" t="str">
        <f t="shared" si="175"/>
        <v>9.01801291773024-11.4226707566146i</v>
      </c>
      <c r="AD190" s="66">
        <f t="shared" si="176"/>
        <v>23.259299833283929</v>
      </c>
      <c r="AE190" s="63">
        <f t="shared" si="177"/>
        <v>-51.709481602898812</v>
      </c>
      <c r="AF190" s="51" t="e">
        <f t="shared" si="178"/>
        <v>#NUM!</v>
      </c>
      <c r="AG190" s="51" t="str">
        <f t="shared" si="160"/>
        <v>1-1.75095259989334i</v>
      </c>
      <c r="AH190" s="51">
        <f t="shared" si="179"/>
        <v>2.0163915807881283</v>
      </c>
      <c r="AI190" s="51">
        <f t="shared" si="180"/>
        <v>-1.0518846024895889</v>
      </c>
      <c r="AJ190" s="51" t="str">
        <f t="shared" si="161"/>
        <v>1+0.00583650866631111i</v>
      </c>
      <c r="AK190" s="51">
        <f t="shared" si="181"/>
        <v>1.0000170322716568</v>
      </c>
      <c r="AL190" s="51">
        <f t="shared" si="182"/>
        <v>5.8364423944338205E-3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-0.000170731707317073</v>
      </c>
      <c r="AT190" s="32" t="str">
        <f t="shared" si="164"/>
        <v>0.000125303575886905i</v>
      </c>
      <c r="AU190" s="32">
        <f t="shared" si="188"/>
        <v>1.2530357588690501E-4</v>
      </c>
      <c r="AV190" s="32">
        <f t="shared" si="189"/>
        <v>1.5707963267948966</v>
      </c>
      <c r="AW190" s="32" t="str">
        <f t="shared" si="165"/>
        <v>1+0.0266782073204086i</v>
      </c>
      <c r="AX190" s="32">
        <f t="shared" si="190"/>
        <v>1.0003558000760684</v>
      </c>
      <c r="AY190" s="32">
        <f t="shared" si="191"/>
        <v>2.6671880823937393E-2</v>
      </c>
      <c r="AZ190" s="32" t="str">
        <f t="shared" si="166"/>
        <v>1+0.506885939087765i</v>
      </c>
      <c r="BA190" s="32">
        <f t="shared" si="192"/>
        <v>1.1211303917229634</v>
      </c>
      <c r="BB190" s="32">
        <f t="shared" si="193"/>
        <v>0.46914117351399909</v>
      </c>
      <c r="BC190" s="60" t="str">
        <f t="shared" si="194"/>
        <v>-0.653839084125624+1.37998782775922i</v>
      </c>
      <c r="BD190" s="51">
        <f t="shared" si="195"/>
        <v>3.6770469884628736</v>
      </c>
      <c r="BE190" s="63">
        <f t="shared" si="196"/>
        <v>115.35162303527923</v>
      </c>
      <c r="BF190" s="60" t="str">
        <f t="shared" si="197"/>
        <v>9.86681729786756+19.9133366428166i</v>
      </c>
      <c r="BG190" s="66">
        <f t="shared" si="198"/>
        <v>26.93634682174681</v>
      </c>
      <c r="BH190" s="63">
        <f t="shared" si="199"/>
        <v>63.642141432380456</v>
      </c>
      <c r="BI190" s="60" t="e">
        <f t="shared" si="203"/>
        <v>#NUM!</v>
      </c>
      <c r="BJ190" s="66" t="e">
        <f t="shared" si="200"/>
        <v>#NUM!</v>
      </c>
      <c r="BK190" s="63" t="e">
        <f t="shared" si="204"/>
        <v>#NUM!</v>
      </c>
      <c r="BL190" s="51">
        <f t="shared" si="201"/>
        <v>26.93634682174681</v>
      </c>
      <c r="BM190" s="63">
        <f t="shared" si="202"/>
        <v>63.642141432380456</v>
      </c>
    </row>
    <row r="191" spans="14:65" x14ac:dyDescent="0.3">
      <c r="N191" s="11">
        <v>73</v>
      </c>
      <c r="O191" s="52">
        <f t="shared" si="205"/>
        <v>537.03179637025301</v>
      </c>
      <c r="P191" s="50" t="str">
        <f t="shared" si="155"/>
        <v>23.3035714285714</v>
      </c>
      <c r="Q191" s="18" t="str">
        <f t="shared" si="156"/>
        <v>1+1.27981251806187i</v>
      </c>
      <c r="R191" s="18">
        <f t="shared" si="167"/>
        <v>1.6241675041041377</v>
      </c>
      <c r="S191" s="18">
        <f t="shared" si="168"/>
        <v>0.90752226867344898</v>
      </c>
      <c r="T191" s="18" t="str">
        <f t="shared" si="157"/>
        <v>1+0.00597245841762204i</v>
      </c>
      <c r="U191" s="18">
        <f t="shared" si="169"/>
        <v>1.000017834970732</v>
      </c>
      <c r="V191" s="18">
        <f t="shared" si="170"/>
        <v>5.9723874060945304E-3</v>
      </c>
      <c r="W191" s="32" t="str">
        <f t="shared" si="158"/>
        <v>1-0.00824821627041336i</v>
      </c>
      <c r="X191" s="18">
        <f t="shared" si="171"/>
        <v>1.0000340159572791</v>
      </c>
      <c r="Y191" s="18">
        <f t="shared" si="172"/>
        <v>-8.2480292275522085E-3</v>
      </c>
      <c r="Z191" s="32" t="str">
        <f t="shared" si="159"/>
        <v>0.999998846387399+0.00404819642659977i</v>
      </c>
      <c r="AA191" s="18">
        <f t="shared" si="173"/>
        <v>1.0000070403104355</v>
      </c>
      <c r="AB191" s="18">
        <f t="shared" si="174"/>
        <v>4.0481789829914117E-3</v>
      </c>
      <c r="AC191" s="68" t="str">
        <f t="shared" si="175"/>
        <v>8.76278995607864-11.3621015101661i</v>
      </c>
      <c r="AD191" s="66">
        <f t="shared" si="176"/>
        <v>23.13622256731454</v>
      </c>
      <c r="AE191" s="63">
        <f t="shared" si="177"/>
        <v>-52.35952405161801</v>
      </c>
      <c r="AF191" s="51" t="e">
        <f t="shared" si="178"/>
        <v>#NUM!</v>
      </c>
      <c r="AG191" s="51" t="str">
        <f t="shared" si="160"/>
        <v>1-1.79173752528662i</v>
      </c>
      <c r="AH191" s="51">
        <f t="shared" si="179"/>
        <v>2.0519072492489081</v>
      </c>
      <c r="AI191" s="51">
        <f t="shared" si="180"/>
        <v>-1.0617422686134865</v>
      </c>
      <c r="AJ191" s="51" t="str">
        <f t="shared" si="161"/>
        <v>1+0.00597245841762204i</v>
      </c>
      <c r="AK191" s="51">
        <f t="shared" si="181"/>
        <v>1.000017834970732</v>
      </c>
      <c r="AL191" s="51">
        <f t="shared" si="182"/>
        <v>5.9723874060945304E-3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-0.000170731707317073</v>
      </c>
      <c r="AT191" s="32" t="str">
        <f t="shared" si="164"/>
        <v>0.00012822227111279i</v>
      </c>
      <c r="AU191" s="32">
        <f t="shared" si="188"/>
        <v>1.2822227111279001E-4</v>
      </c>
      <c r="AV191" s="32">
        <f t="shared" si="189"/>
        <v>1.5707963267948966</v>
      </c>
      <c r="AW191" s="32" t="str">
        <f t="shared" si="165"/>
        <v>1+0.0272996225975872i</v>
      </c>
      <c r="AX191" s="32">
        <f t="shared" si="190"/>
        <v>1.0003725652945359</v>
      </c>
      <c r="AY191" s="32">
        <f t="shared" si="191"/>
        <v>2.729284377083074E-2</v>
      </c>
      <c r="AZ191" s="32" t="str">
        <f t="shared" si="166"/>
        <v>1+0.518692829354158i</v>
      </c>
      <c r="BA191" s="32">
        <f t="shared" si="192"/>
        <v>1.1265177545087435</v>
      </c>
      <c r="BB191" s="32">
        <f t="shared" si="193"/>
        <v>0.47848979737585279</v>
      </c>
      <c r="BC191" s="60" t="str">
        <f t="shared" si="194"/>
        <v>-0.653817168963979+1.3493782340235i</v>
      </c>
      <c r="BD191" s="51">
        <f t="shared" si="195"/>
        <v>3.518539724470255</v>
      </c>
      <c r="BE191" s="63">
        <f t="shared" si="196"/>
        <v>115.85168117072777</v>
      </c>
      <c r="BF191" s="60" t="str">
        <f t="shared" si="197"/>
        <v>9.60250994927435+19.2530550789104i</v>
      </c>
      <c r="BG191" s="66">
        <f t="shared" si="198"/>
        <v>26.654762291784788</v>
      </c>
      <c r="BH191" s="63">
        <f t="shared" si="199"/>
        <v>63.492157119109748</v>
      </c>
      <c r="BI191" s="60" t="e">
        <f t="shared" si="203"/>
        <v>#NUM!</v>
      </c>
      <c r="BJ191" s="66" t="e">
        <f t="shared" si="200"/>
        <v>#NUM!</v>
      </c>
      <c r="BK191" s="63" t="e">
        <f t="shared" si="204"/>
        <v>#NUM!</v>
      </c>
      <c r="BL191" s="51">
        <f t="shared" si="201"/>
        <v>26.654762291784788</v>
      </c>
      <c r="BM191" s="63">
        <f t="shared" si="202"/>
        <v>63.492157119109748</v>
      </c>
    </row>
    <row r="192" spans="14:65" x14ac:dyDescent="0.3">
      <c r="N192" s="11">
        <v>74</v>
      </c>
      <c r="O192" s="52">
        <f t="shared" si="205"/>
        <v>549.54087385762534</v>
      </c>
      <c r="P192" s="50" t="str">
        <f t="shared" si="155"/>
        <v>23.3035714285714</v>
      </c>
      <c r="Q192" s="18" t="str">
        <f t="shared" si="156"/>
        <v>1+1.30962318116589i</v>
      </c>
      <c r="R192" s="18">
        <f t="shared" si="167"/>
        <v>1.6477599572289241</v>
      </c>
      <c r="S192" s="18">
        <f t="shared" si="168"/>
        <v>0.91866151624367354</v>
      </c>
      <c r="T192" s="18" t="str">
        <f t="shared" si="157"/>
        <v>1+0.00611157484544085i</v>
      </c>
      <c r="U192" s="18">
        <f t="shared" si="169"/>
        <v>1.0000186754991587</v>
      </c>
      <c r="V192" s="18">
        <f t="shared" si="170"/>
        <v>6.1114987552949749E-3</v>
      </c>
      <c r="W192" s="32" t="str">
        <f t="shared" si="158"/>
        <v>1-0.0084403419083301i</v>
      </c>
      <c r="X192" s="18">
        <f t="shared" si="171"/>
        <v>1.0000356190514064</v>
      </c>
      <c r="Y192" s="18">
        <f t="shared" si="172"/>
        <v>-8.4401414886790104E-3</v>
      </c>
      <c r="Z192" s="32" t="str">
        <f t="shared" si="159"/>
        <v>0.999998792019312+0.00414249103471554i</v>
      </c>
      <c r="AA192" s="18">
        <f t="shared" si="173"/>
        <v>1.000007372108854</v>
      </c>
      <c r="AB192" s="18">
        <f t="shared" si="174"/>
        <v>4.1424723435598207E-3</v>
      </c>
      <c r="AC192" s="68" t="str">
        <f t="shared" si="175"/>
        <v>8.51039305454539-11.2962141409261i</v>
      </c>
      <c r="AD192" s="66">
        <f t="shared" si="176"/>
        <v>23.010978355462409</v>
      </c>
      <c r="AE192" s="63">
        <f t="shared" si="177"/>
        <v>-53.006195264503702</v>
      </c>
      <c r="AF192" s="51" t="e">
        <f t="shared" si="178"/>
        <v>#NUM!</v>
      </c>
      <c r="AG192" s="51" t="str">
        <f t="shared" si="160"/>
        <v>1-1.83347245363226i</v>
      </c>
      <c r="AH192" s="51">
        <f t="shared" si="179"/>
        <v>2.0884494818473103</v>
      </c>
      <c r="AI192" s="51">
        <f t="shared" si="180"/>
        <v>-1.0714815034451557</v>
      </c>
      <c r="AJ192" s="51" t="str">
        <f t="shared" si="161"/>
        <v>1+0.00611157484544085i</v>
      </c>
      <c r="AK192" s="51">
        <f t="shared" si="181"/>
        <v>1.0000186754991587</v>
      </c>
      <c r="AL192" s="51">
        <f t="shared" si="182"/>
        <v>6.1114987552949749E-3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-0.000170731707317073</v>
      </c>
      <c r="AT192" s="32" t="str">
        <f t="shared" si="164"/>
        <v>0.000131208951484041i</v>
      </c>
      <c r="AU192" s="32">
        <f t="shared" si="188"/>
        <v>1.3120895148404101E-4</v>
      </c>
      <c r="AV192" s="32">
        <f t="shared" si="189"/>
        <v>1.5707963267948966</v>
      </c>
      <c r="AW192" s="32" t="str">
        <f t="shared" si="165"/>
        <v>1+0.0279355124960204i</v>
      </c>
      <c r="AX192" s="32">
        <f t="shared" si="190"/>
        <v>1.0003901203322709</v>
      </c>
      <c r="AY192" s="32">
        <f t="shared" si="191"/>
        <v>2.7928249005260294E-2</v>
      </c>
      <c r="AZ192" s="32" t="str">
        <f t="shared" si="166"/>
        <v>1+0.530774737424388i</v>
      </c>
      <c r="BA192" s="32">
        <f t="shared" si="192"/>
        <v>1.1321315391278206</v>
      </c>
      <c r="BB192" s="32">
        <f t="shared" si="193"/>
        <v>0.48796322393989905</v>
      </c>
      <c r="BC192" s="60" t="str">
        <f t="shared" si="194"/>
        <v>-0.653794222547114+1.31948404212591i</v>
      </c>
      <c r="BD192" s="51">
        <f t="shared" si="195"/>
        <v>3.3615642694070806</v>
      </c>
      <c r="BE192" s="63">
        <f t="shared" si="196"/>
        <v>116.35806249216148</v>
      </c>
      <c r="BF192" s="60" t="str">
        <f t="shared" si="197"/>
        <v>9.34112848472217+18.6147273696843i</v>
      </c>
      <c r="BG192" s="66">
        <f t="shared" si="198"/>
        <v>26.372542624869485</v>
      </c>
      <c r="BH192" s="63">
        <f t="shared" si="199"/>
        <v>63.351867227657777</v>
      </c>
      <c r="BI192" s="60" t="e">
        <f t="shared" si="203"/>
        <v>#NUM!</v>
      </c>
      <c r="BJ192" s="66" t="e">
        <f t="shared" si="200"/>
        <v>#NUM!</v>
      </c>
      <c r="BK192" s="63" t="e">
        <f t="shared" si="204"/>
        <v>#NUM!</v>
      </c>
      <c r="BL192" s="51">
        <f t="shared" si="201"/>
        <v>26.372542624869485</v>
      </c>
      <c r="BM192" s="63">
        <f t="shared" si="202"/>
        <v>63.351867227657777</v>
      </c>
    </row>
    <row r="193" spans="14:65" x14ac:dyDescent="0.3">
      <c r="N193" s="11">
        <v>75</v>
      </c>
      <c r="O193" s="52">
        <f t="shared" si="205"/>
        <v>562.34132519034927</v>
      </c>
      <c r="P193" s="50" t="str">
        <f t="shared" si="155"/>
        <v>23.3035714285714</v>
      </c>
      <c r="Q193" s="18" t="str">
        <f t="shared" si="156"/>
        <v>1+1.34012822381549i</v>
      </c>
      <c r="R193" s="18">
        <f t="shared" si="167"/>
        <v>1.6721075492523978</v>
      </c>
      <c r="S193" s="18">
        <f t="shared" si="168"/>
        <v>0.92973342141177595</v>
      </c>
      <c r="T193" s="18" t="str">
        <f t="shared" si="157"/>
        <v>1+0.00625393171113895i</v>
      </c>
      <c r="U193" s="18">
        <f t="shared" si="169"/>
        <v>1.0000195556397122</v>
      </c>
      <c r="V193" s="18">
        <f t="shared" si="170"/>
        <v>6.2538501791648167E-3</v>
      </c>
      <c r="W193" s="32" t="str">
        <f t="shared" si="158"/>
        <v>1-0.00863694272724776i</v>
      </c>
      <c r="X193" s="18">
        <f t="shared" si="171"/>
        <v>1.000037297694278</v>
      </c>
      <c r="Y193" s="18">
        <f t="shared" si="172"/>
        <v>-8.6367279741550521E-3</v>
      </c>
      <c r="Z193" s="32" t="str">
        <f t="shared" si="159"/>
        <v>0.999998735088936+0.00423898204641026i</v>
      </c>
      <c r="AA193" s="18">
        <f t="shared" si="173"/>
        <v>1.0000077195443351</v>
      </c>
      <c r="AB193" s="18">
        <f t="shared" si="174"/>
        <v>4.2389620184843579E-3</v>
      </c>
      <c r="AC193" s="68" t="str">
        <f t="shared" si="175"/>
        <v>8.26103853316108-11.2251698676227i</v>
      </c>
      <c r="AD193" s="66">
        <f t="shared" si="176"/>
        <v>22.883592303807049</v>
      </c>
      <c r="AE193" s="63">
        <f t="shared" si="177"/>
        <v>-53.649204593076561</v>
      </c>
      <c r="AF193" s="51" t="e">
        <f t="shared" si="178"/>
        <v>#NUM!</v>
      </c>
      <c r="AG193" s="51" t="str">
        <f t="shared" si="160"/>
        <v>1-1.87617951334169i</v>
      </c>
      <c r="AH193" s="51">
        <f t="shared" si="179"/>
        <v>2.1260408195241833</v>
      </c>
      <c r="AI193" s="51">
        <f t="shared" si="180"/>
        <v>-1.0811000797750101</v>
      </c>
      <c r="AJ193" s="51" t="str">
        <f t="shared" si="161"/>
        <v>1+0.00625393171113895i</v>
      </c>
      <c r="AK193" s="51">
        <f t="shared" si="181"/>
        <v>1.0000195556397122</v>
      </c>
      <c r="AL193" s="51">
        <f t="shared" si="182"/>
        <v>6.2538501791648167E-3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-0.000170731707317073</v>
      </c>
      <c r="AT193" s="32" t="str">
        <f t="shared" si="164"/>
        <v>0.000134265200578124i</v>
      </c>
      <c r="AU193" s="32">
        <f t="shared" si="188"/>
        <v>1.3426520057812399E-4</v>
      </c>
      <c r="AV193" s="32">
        <f t="shared" si="189"/>
        <v>1.5707963267948966</v>
      </c>
      <c r="AW193" s="32" t="str">
        <f t="shared" si="165"/>
        <v>1+0.0285862141729491i</v>
      </c>
      <c r="AX193" s="32">
        <f t="shared" si="190"/>
        <v>1.0004085023832723</v>
      </c>
      <c r="AY193" s="32">
        <f t="shared" si="191"/>
        <v>2.8578431374009658E-2</v>
      </c>
      <c r="AZ193" s="32" t="str">
        <f t="shared" si="166"/>
        <v>1+0.543138069286033i</v>
      </c>
      <c r="BA193" s="32">
        <f t="shared" si="192"/>
        <v>1.1379802117382181</v>
      </c>
      <c r="BB193" s="32">
        <f t="shared" si="193"/>
        <v>0.49755967368532966</v>
      </c>
      <c r="BC193" s="60" t="str">
        <f t="shared" si="194"/>
        <v>-0.653770196425184+1.29028939774555i</v>
      </c>
      <c r="BD193" s="51">
        <f t="shared" si="195"/>
        <v>3.2061610884423479</v>
      </c>
      <c r="BE193" s="63">
        <f t="shared" si="196"/>
        <v>116.87064585524091</v>
      </c>
      <c r="BF193" s="60" t="str">
        <f t="shared" si="197"/>
        <v>9.08289688358566+17.9978119429669i</v>
      </c>
      <c r="BG193" s="66">
        <f t="shared" si="198"/>
        <v>26.089753392249385</v>
      </c>
      <c r="BH193" s="63">
        <f t="shared" si="199"/>
        <v>63.221441262164305</v>
      </c>
      <c r="BI193" s="60" t="e">
        <f t="shared" si="203"/>
        <v>#NUM!</v>
      </c>
      <c r="BJ193" s="66" t="e">
        <f t="shared" si="200"/>
        <v>#NUM!</v>
      </c>
      <c r="BK193" s="63" t="e">
        <f t="shared" si="204"/>
        <v>#NUM!</v>
      </c>
      <c r="BL193" s="51">
        <f t="shared" si="201"/>
        <v>26.089753392249385</v>
      </c>
      <c r="BM193" s="63">
        <f t="shared" si="202"/>
        <v>63.221441262164305</v>
      </c>
    </row>
    <row r="194" spans="14:65" x14ac:dyDescent="0.3">
      <c r="N194" s="11">
        <v>76</v>
      </c>
      <c r="O194" s="52">
        <f t="shared" si="205"/>
        <v>575.43993733715706</v>
      </c>
      <c r="P194" s="50" t="str">
        <f t="shared" si="155"/>
        <v>23.3035714285714</v>
      </c>
      <c r="Q194" s="18" t="str">
        <f t="shared" si="156"/>
        <v>1+1.37134382018804i</v>
      </c>
      <c r="R194" s="18">
        <f t="shared" si="167"/>
        <v>1.6972282914115966</v>
      </c>
      <c r="S194" s="18">
        <f t="shared" si="168"/>
        <v>0.94073299688668233</v>
      </c>
      <c r="T194" s="18" t="str">
        <f t="shared" si="157"/>
        <v>1+0.00639960449421087i</v>
      </c>
      <c r="U194" s="18">
        <f t="shared" si="169"/>
        <v>1.0000204772591821</v>
      </c>
      <c r="V194" s="18">
        <f t="shared" si="170"/>
        <v>6.3995171312232098E-3</v>
      </c>
      <c r="W194" s="32" t="str">
        <f t="shared" si="158"/>
        <v>1-0.00883812296752286i</v>
      </c>
      <c r="X194" s="18">
        <f t="shared" si="171"/>
        <v>1.0000390554461305</v>
      </c>
      <c r="Y194" s="18">
        <f t="shared" si="172"/>
        <v>-8.8378928559235282E-3</v>
      </c>
      <c r="Z194" s="32" t="str">
        <f t="shared" si="159"/>
        <v>0.999998675475514+0.00433772062249556i</v>
      </c>
      <c r="AA194" s="18">
        <f t="shared" si="173"/>
        <v>1.0000080833538203</v>
      </c>
      <c r="AB194" s="18">
        <f t="shared" si="174"/>
        <v>4.3376991621956133E-3</v>
      </c>
      <c r="AC194" s="68" t="str">
        <f t="shared" si="175"/>
        <v>8.01493116159741-11.1491399786358i</v>
      </c>
      <c r="AD194" s="66">
        <f t="shared" si="176"/>
        <v>22.754091318793897</v>
      </c>
      <c r="AE194" s="63">
        <f t="shared" si="177"/>
        <v>-54.288270862984369</v>
      </c>
      <c r="AF194" s="51" t="e">
        <f t="shared" si="178"/>
        <v>#NUM!</v>
      </c>
      <c r="AG194" s="51" t="str">
        <f t="shared" si="160"/>
        <v>1-1.91988134826327i</v>
      </c>
      <c r="AH194" s="51">
        <f t="shared" si="179"/>
        <v>2.1647042272350263</v>
      </c>
      <c r="AI194" s="51">
        <f t="shared" si="180"/>
        <v>-1.0905959776486966</v>
      </c>
      <c r="AJ194" s="51" t="str">
        <f t="shared" si="161"/>
        <v>1+0.00639960449421087i</v>
      </c>
      <c r="AK194" s="51">
        <f t="shared" si="181"/>
        <v>1.0000204772591821</v>
      </c>
      <c r="AL194" s="51">
        <f t="shared" si="182"/>
        <v>6.3995171312232098E-3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-0.000170731707317073</v>
      </c>
      <c r="AT194" s="32" t="str">
        <f t="shared" si="164"/>
        <v>0.000137392638858764i</v>
      </c>
      <c r="AU194" s="32">
        <f t="shared" si="188"/>
        <v>1.37392638858764E-4</v>
      </c>
      <c r="AV194" s="32">
        <f t="shared" si="189"/>
        <v>1.5707963267948966</v>
      </c>
      <c r="AW194" s="32" t="str">
        <f t="shared" si="165"/>
        <v>1+0.0292520726390156i</v>
      </c>
      <c r="AX194" s="32">
        <f t="shared" si="190"/>
        <v>1.0004277503916403</v>
      </c>
      <c r="AY194" s="32">
        <f t="shared" si="191"/>
        <v>2.9243733412268724E-2</v>
      </c>
      <c r="AZ194" s="32" t="str">
        <f t="shared" si="166"/>
        <v>1+0.555789380141297i</v>
      </c>
      <c r="BA194" s="32">
        <f t="shared" si="192"/>
        <v>1.1440724780702693</v>
      </c>
      <c r="BB194" s="32">
        <f t="shared" si="193"/>
        <v>0.50727716393355249</v>
      </c>
      <c r="BC194" s="60" t="str">
        <f t="shared" si="194"/>
        <v>-0.653745039879594+1.26177881718381i</v>
      </c>
      <c r="BD194" s="51">
        <f t="shared" si="195"/>
        <v>3.052370533970687</v>
      </c>
      <c r="BE194" s="63">
        <f t="shared" si="196"/>
        <v>117.38929803502978</v>
      </c>
      <c r="BF194" s="60" t="str">
        <f t="shared" si="197"/>
        <v>8.82802716298911+17.4017653208465i</v>
      </c>
      <c r="BG194" s="66">
        <f t="shared" si="198"/>
        <v>25.806461852764599</v>
      </c>
      <c r="BH194" s="63">
        <f t="shared" si="199"/>
        <v>63.101027172045448</v>
      </c>
      <c r="BI194" s="60" t="e">
        <f t="shared" si="203"/>
        <v>#NUM!</v>
      </c>
      <c r="BJ194" s="66" t="e">
        <f t="shared" si="200"/>
        <v>#NUM!</v>
      </c>
      <c r="BK194" s="63" t="e">
        <f t="shared" si="204"/>
        <v>#NUM!</v>
      </c>
      <c r="BL194" s="51">
        <f t="shared" si="201"/>
        <v>25.806461852764599</v>
      </c>
      <c r="BM194" s="63">
        <f t="shared" si="202"/>
        <v>63.101027172045448</v>
      </c>
    </row>
    <row r="195" spans="14:65" x14ac:dyDescent="0.3">
      <c r="N195" s="11">
        <v>77</v>
      </c>
      <c r="O195" s="52">
        <f t="shared" si="205"/>
        <v>588.84365535558959</v>
      </c>
      <c r="P195" s="50" t="str">
        <f t="shared" si="155"/>
        <v>23.3035714285714</v>
      </c>
      <c r="Q195" s="18" t="str">
        <f t="shared" si="156"/>
        <v>1+1.40328652120594i</v>
      </c>
      <c r="R195" s="18">
        <f t="shared" si="167"/>
        <v>1.7231404645583217</v>
      </c>
      <c r="S195" s="18">
        <f t="shared" si="168"/>
        <v>0.95165542834740546</v>
      </c>
      <c r="T195" s="18" t="str">
        <f t="shared" si="157"/>
        <v>1+0.00654867043229441i</v>
      </c>
      <c r="U195" s="18">
        <f t="shared" si="169"/>
        <v>1.000021442312329</v>
      </c>
      <c r="V195" s="18">
        <f t="shared" si="170"/>
        <v>6.5485768212749755E-3</v>
      </c>
      <c r="W195" s="32" t="str">
        <f t="shared" si="158"/>
        <v>1-0.00904398929758173i</v>
      </c>
      <c r="X195" s="18">
        <f t="shared" si="171"/>
        <v>1.0000408960349645</v>
      </c>
      <c r="Y195" s="18">
        <f t="shared" si="172"/>
        <v>-9.0437427291052697E-3</v>
      </c>
      <c r="Z195" s="32" t="str">
        <f t="shared" si="159"/>
        <v>0.999998613052598+0.00443875911547141i</v>
      </c>
      <c r="AA195" s="18">
        <f t="shared" si="173"/>
        <v>1.0000084643089799</v>
      </c>
      <c r="AB195" s="18">
        <f t="shared" si="174"/>
        <v>4.438736120356156E-3</v>
      </c>
      <c r="AC195" s="68" t="str">
        <f t="shared" si="175"/>
        <v>7.77226362227838-11.0683048720109i</v>
      </c>
      <c r="AD195" s="66">
        <f t="shared" si="176"/>
        <v>22.622504006320248</v>
      </c>
      <c r="AE195" s="63">
        <f t="shared" si="177"/>
        <v>-54.923122916793318</v>
      </c>
      <c r="AF195" s="51" t="e">
        <f t="shared" si="178"/>
        <v>#NUM!</v>
      </c>
      <c r="AG195" s="51" t="str">
        <f t="shared" si="160"/>
        <v>1-1.96460112968833i</v>
      </c>
      <c r="AH195" s="51">
        <f t="shared" si="179"/>
        <v>2.2044631089616042</v>
      </c>
      <c r="AI195" s="51">
        <f t="shared" si="180"/>
        <v>-1.0999673809526584</v>
      </c>
      <c r="AJ195" s="51" t="str">
        <f t="shared" si="161"/>
        <v>1+0.00654867043229441i</v>
      </c>
      <c r="AK195" s="51">
        <f t="shared" si="181"/>
        <v>1.000021442312329</v>
      </c>
      <c r="AL195" s="51">
        <f t="shared" si="182"/>
        <v>6.5485768212749755E-3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-0.000170731707317073</v>
      </c>
      <c r="AT195" s="32" t="str">
        <f t="shared" si="164"/>
        <v>0.000140592924535134i</v>
      </c>
      <c r="AU195" s="32">
        <f t="shared" si="188"/>
        <v>1.4059292453513401E-4</v>
      </c>
      <c r="AV195" s="32">
        <f t="shared" si="189"/>
        <v>1.5707963267948966</v>
      </c>
      <c r="AW195" s="32" t="str">
        <f t="shared" si="165"/>
        <v>1+0.0299334409411922i</v>
      </c>
      <c r="AX195" s="32">
        <f t="shared" si="190"/>
        <v>1.0004479051337856</v>
      </c>
      <c r="AY195" s="32">
        <f t="shared" si="191"/>
        <v>2.9924505514792078E-2</v>
      </c>
      <c r="AZ195" s="32" t="str">
        <f t="shared" si="166"/>
        <v>1+0.568735377882653i</v>
      </c>
      <c r="BA195" s="32">
        <f t="shared" si="192"/>
        <v>1.1504172851862597</v>
      </c>
      <c r="BB195" s="32">
        <f t="shared" si="193"/>
        <v>0.51711350532546874</v>
      </c>
      <c r="BC195" s="60" t="str">
        <f t="shared" si="194"/>
        <v>-0.653718699817468+1.23393717913425i</v>
      </c>
      <c r="BD195" s="51">
        <f t="shared" si="195"/>
        <v>2.9002327513546455</v>
      </c>
      <c r="BE195" s="63">
        <f t="shared" si="196"/>
        <v>117.91387351435164</v>
      </c>
      <c r="BF195" s="60" t="str">
        <f t="shared" si="197"/>
        <v>8.57671882177258+16.8260429196762i</v>
      </c>
      <c r="BG195" s="66">
        <f t="shared" si="198"/>
        <v>25.522736757674878</v>
      </c>
      <c r="BH195" s="63">
        <f t="shared" si="199"/>
        <v>62.990750597558254</v>
      </c>
      <c r="BI195" s="60" t="e">
        <f t="shared" si="203"/>
        <v>#NUM!</v>
      </c>
      <c r="BJ195" s="66" t="e">
        <f t="shared" si="200"/>
        <v>#NUM!</v>
      </c>
      <c r="BK195" s="63" t="e">
        <f t="shared" si="204"/>
        <v>#NUM!</v>
      </c>
      <c r="BL195" s="51">
        <f t="shared" si="201"/>
        <v>25.522736757674878</v>
      </c>
      <c r="BM195" s="63">
        <f t="shared" si="202"/>
        <v>62.990750597558254</v>
      </c>
    </row>
    <row r="196" spans="14:65" x14ac:dyDescent="0.3">
      <c r="N196" s="11">
        <v>78</v>
      </c>
      <c r="O196" s="52">
        <f t="shared" si="205"/>
        <v>602.55958607435832</v>
      </c>
      <c r="P196" s="50" t="str">
        <f t="shared" si="155"/>
        <v>23.3035714285714</v>
      </c>
      <c r="Q196" s="18" t="str">
        <f t="shared" si="156"/>
        <v>1+1.43597326331208i</v>
      </c>
      <c r="R196" s="18">
        <f t="shared" si="167"/>
        <v>1.7498626268787913</v>
      </c>
      <c r="S196" s="18">
        <f t="shared" si="168"/>
        <v>0.96249608291680755</v>
      </c>
      <c r="T196" s="18" t="str">
        <f t="shared" si="157"/>
        <v>1+0.00670120856212304i</v>
      </c>
      <c r="U196" s="18">
        <f t="shared" si="169"/>
        <v>1.0000224528460313</v>
      </c>
      <c r="V196" s="18">
        <f t="shared" si="170"/>
        <v>6.7011082562301663E-3</v>
      </c>
      <c r="W196" s="32" t="str">
        <f t="shared" si="158"/>
        <v>1-0.00925465087047752i</v>
      </c>
      <c r="X196" s="18">
        <f t="shared" si="171"/>
        <v>1.0000428233644469</v>
      </c>
      <c r="Y196" s="18">
        <f t="shared" si="172"/>
        <v>-9.2543866682059592E-3</v>
      </c>
      <c r="Z196" s="32" t="str">
        <f t="shared" si="159"/>
        <v>0.999998547687781+0.00454215109728421i</v>
      </c>
      <c r="AA196" s="18">
        <f t="shared" si="173"/>
        <v>1.0000088632178523</v>
      </c>
      <c r="AB196" s="18">
        <f t="shared" si="174"/>
        <v>4.5421264575859974E-3</v>
      </c>
      <c r="AC196" s="68" t="str">
        <f t="shared" si="175"/>
        <v>7.53321606403634-10.9828530692908i</v>
      </c>
      <c r="AD196" s="66">
        <f t="shared" si="176"/>
        <v>22.488860566626379</v>
      </c>
      <c r="AE196" s="63">
        <f t="shared" si="177"/>
        <v>-55.553500101969419</v>
      </c>
      <c r="AF196" s="51" t="e">
        <f t="shared" si="178"/>
        <v>#NUM!</v>
      </c>
      <c r="AG196" s="51" t="str">
        <f t="shared" si="160"/>
        <v>1-2.01036256863692i</v>
      </c>
      <c r="AH196" s="51">
        <f t="shared" si="179"/>
        <v>2.2453413231347334</v>
      </c>
      <c r="AI196" s="51">
        <f t="shared" si="180"/>
        <v>-1.1092126734258054</v>
      </c>
      <c r="AJ196" s="51" t="str">
        <f t="shared" si="161"/>
        <v>1+0.00670120856212304i</v>
      </c>
      <c r="AK196" s="51">
        <f t="shared" si="181"/>
        <v>1.0000224528460313</v>
      </c>
      <c r="AL196" s="51">
        <f t="shared" si="182"/>
        <v>6.7011082562301663E-3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-0.000170731707317073</v>
      </c>
      <c r="AT196" s="32" t="str">
        <f t="shared" si="164"/>
        <v>0.00014386775444106i</v>
      </c>
      <c r="AU196" s="32">
        <f t="shared" si="188"/>
        <v>1.4386775444106E-4</v>
      </c>
      <c r="AV196" s="32">
        <f t="shared" si="189"/>
        <v>1.5707963267948966</v>
      </c>
      <c r="AW196" s="32" t="str">
        <f t="shared" si="165"/>
        <v>1+0.0306306803499718i</v>
      </c>
      <c r="AX196" s="32">
        <f t="shared" si="190"/>
        <v>1.0004690093044872</v>
      </c>
      <c r="AY196" s="32">
        <f t="shared" si="191"/>
        <v>3.0621106110481244E-2</v>
      </c>
      <c r="AZ196" s="32" t="str">
        <f t="shared" si="166"/>
        <v>1+0.581982926649465i</v>
      </c>
      <c r="BA196" s="32">
        <f t="shared" si="192"/>
        <v>1.1570238229662675</v>
      </c>
      <c r="BB196" s="32">
        <f t="shared" si="193"/>
        <v>0.52706629891759882</v>
      </c>
      <c r="BC196" s="60" t="str">
        <f t="shared" si="194"/>
        <v>-0.653691120661302+1.20674971664325i</v>
      </c>
      <c r="BD196" s="51">
        <f t="shared" si="195"/>
        <v>2.7497875805375536</v>
      </c>
      <c r="BE196" s="63">
        <f t="shared" si="196"/>
        <v>118.44421430740621</v>
      </c>
      <c r="BF196" s="60" t="str">
        <f t="shared" si="197"/>
        <v>8.32915837821748+16.2700998816114i</v>
      </c>
      <c r="BG196" s="66">
        <f t="shared" si="198"/>
        <v>25.23864814716395</v>
      </c>
      <c r="BH196" s="63">
        <f t="shared" si="199"/>
        <v>62.890714205436879</v>
      </c>
      <c r="BI196" s="60" t="e">
        <f t="shared" si="203"/>
        <v>#NUM!</v>
      </c>
      <c r="BJ196" s="66" t="e">
        <f t="shared" si="200"/>
        <v>#NUM!</v>
      </c>
      <c r="BK196" s="63" t="e">
        <f t="shared" si="204"/>
        <v>#NUM!</v>
      </c>
      <c r="BL196" s="51">
        <f t="shared" si="201"/>
        <v>25.23864814716395</v>
      </c>
      <c r="BM196" s="63">
        <f t="shared" si="202"/>
        <v>62.890714205436879</v>
      </c>
    </row>
    <row r="197" spans="14:65" x14ac:dyDescent="0.3">
      <c r="N197" s="11">
        <v>79</v>
      </c>
      <c r="O197" s="52">
        <f t="shared" si="205"/>
        <v>616.59500186148273</v>
      </c>
      <c r="P197" s="50" t="str">
        <f t="shared" si="155"/>
        <v>23.3035714285714</v>
      </c>
      <c r="Q197" s="18" t="str">
        <f t="shared" si="156"/>
        <v>1+1.46942137744978i</v>
      </c>
      <c r="R197" s="18">
        <f t="shared" si="167"/>
        <v>1.7774136222349621</v>
      </c>
      <c r="S197" s="18">
        <f t="shared" si="168"/>
        <v>0.97325051665672835</v>
      </c>
      <c r="T197" s="18" t="str">
        <f t="shared" si="157"/>
        <v>1+0.0068572997614323i</v>
      </c>
      <c r="U197" s="18">
        <f t="shared" si="169"/>
        <v>1.0000235110036255</v>
      </c>
      <c r="V197" s="18">
        <f t="shared" si="170"/>
        <v>6.8571922818681311E-3</v>
      </c>
      <c r="W197" s="32" t="str">
        <f t="shared" si="158"/>
        <v>1-0.00947021938176463i</v>
      </c>
      <c r="X197" s="18">
        <f t="shared" si="171"/>
        <v>1.0000448415221883</v>
      </c>
      <c r="Y197" s="18">
        <f t="shared" si="172"/>
        <v>-9.4699362846157476E-3</v>
      </c>
      <c r="Z197" s="32" t="str">
        <f t="shared" si="159"/>
        <v>0.999998479242415+0.00464795138773128i</v>
      </c>
      <c r="AA197" s="18">
        <f t="shared" si="173"/>
        <v>1.0000092809265548</v>
      </c>
      <c r="AB197" s="18">
        <f t="shared" si="174"/>
        <v>4.6479249858321055E-3</v>
      </c>
      <c r="AC197" s="68" t="str">
        <f t="shared" si="175"/>
        <v>7.29795574670481-10.892980212549i</v>
      </c>
      <c r="AD197" s="66">
        <f t="shared" si="176"/>
        <v>22.353192685767365</v>
      </c>
      <c r="AE197" s="63">
        <f t="shared" si="177"/>
        <v>-56.179152702844661</v>
      </c>
      <c r="AF197" s="51" t="e">
        <f t="shared" si="178"/>
        <v>#NUM!</v>
      </c>
      <c r="AG197" s="51" t="str">
        <f t="shared" si="160"/>
        <v>1-2.05718992842969i</v>
      </c>
      <c r="AH197" s="51">
        <f t="shared" si="179"/>
        <v>2.287363198451998</v>
      </c>
      <c r="AI197" s="51">
        <f t="shared" si="180"/>
        <v>-1.1183304341526548</v>
      </c>
      <c r="AJ197" s="51" t="str">
        <f t="shared" si="161"/>
        <v>1+0.0068572997614323i</v>
      </c>
      <c r="AK197" s="51">
        <f t="shared" si="181"/>
        <v>1.0000235110036255</v>
      </c>
      <c r="AL197" s="51">
        <f t="shared" si="182"/>
        <v>6.8571922818681311E-3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-0.000170731707317073</v>
      </c>
      <c r="AT197" s="32" t="str">
        <f t="shared" si="164"/>
        <v>0.000147218864934705i</v>
      </c>
      <c r="AU197" s="32">
        <f t="shared" si="188"/>
        <v>1.4721886493470501E-4</v>
      </c>
      <c r="AV197" s="32">
        <f t="shared" si="189"/>
        <v>1.5707963267948966</v>
      </c>
      <c r="AW197" s="32" t="str">
        <f t="shared" si="165"/>
        <v>1+0.031344160550918i</v>
      </c>
      <c r="AX197" s="32">
        <f t="shared" si="190"/>
        <v>1.00049110760698</v>
      </c>
      <c r="AY197" s="32">
        <f t="shared" si="191"/>
        <v>3.1333901840428828E-2</v>
      </c>
      <c r="AZ197" s="32" t="str">
        <f t="shared" si="166"/>
        <v>1+0.595539050467443i</v>
      </c>
      <c r="BA197" s="32">
        <f t="shared" si="192"/>
        <v>1.1639015253154641</v>
      </c>
      <c r="BB197" s="32">
        <f t="shared" si="193"/>
        <v>0.53713293395090611</v>
      </c>
      <c r="BC197" s="60" t="str">
        <f t="shared" si="194"/>
        <v>-0.653662244233558+1.18020200925689i</v>
      </c>
      <c r="BD197" s="51">
        <f t="shared" si="195"/>
        <v>2.6010744538405444</v>
      </c>
      <c r="BE197" s="63">
        <f t="shared" si="196"/>
        <v>118.98014982173241</v>
      </c>
      <c r="BF197" s="60" t="str">
        <f t="shared" si="197"/>
        <v>8.08551900193762+15.7333919278554i</v>
      </c>
      <c r="BG197" s="66">
        <f t="shared" si="198"/>
        <v>24.954267139607911</v>
      </c>
      <c r="BH197" s="63">
        <f t="shared" si="199"/>
        <v>62.800997118887771</v>
      </c>
      <c r="BI197" s="60" t="e">
        <f t="shared" si="203"/>
        <v>#NUM!</v>
      </c>
      <c r="BJ197" s="66" t="e">
        <f t="shared" si="200"/>
        <v>#NUM!</v>
      </c>
      <c r="BK197" s="63" t="e">
        <f t="shared" si="204"/>
        <v>#NUM!</v>
      </c>
      <c r="BL197" s="51">
        <f t="shared" si="201"/>
        <v>24.954267139607911</v>
      </c>
      <c r="BM197" s="63">
        <f t="shared" si="202"/>
        <v>62.800997118887771</v>
      </c>
    </row>
    <row r="198" spans="14:65" x14ac:dyDescent="0.3">
      <c r="N198" s="11">
        <v>80</v>
      </c>
      <c r="O198" s="52">
        <f t="shared" si="205"/>
        <v>630.95734448019323</v>
      </c>
      <c r="P198" s="50" t="str">
        <f t="shared" si="155"/>
        <v>23.3035714285714</v>
      </c>
      <c r="Q198" s="18" t="str">
        <f t="shared" si="156"/>
        <v>1+1.50364859825189i</v>
      </c>
      <c r="R198" s="18">
        <f t="shared" si="167"/>
        <v>1.8058125891201648</v>
      </c>
      <c r="S198" s="18">
        <f t="shared" si="168"/>
        <v>0.98391448107245572</v>
      </c>
      <c r="T198" s="18" t="str">
        <f t="shared" si="157"/>
        <v>1+0.00701702679184215i</v>
      </c>
      <c r="U198" s="18">
        <f t="shared" si="169"/>
        <v>1.0000246190294504</v>
      </c>
      <c r="V198" s="18">
        <f t="shared" si="170"/>
        <v>7.0169116255673503E-3</v>
      </c>
      <c r="W198" s="32" t="str">
        <f t="shared" si="158"/>
        <v>1-0.00969080912872111i</v>
      </c>
      <c r="X198" s="18">
        <f t="shared" si="171"/>
        <v>1.0000469547884085</v>
      </c>
      <c r="Y198" s="18">
        <f t="shared" si="172"/>
        <v>-9.6905057854300564E-3</v>
      </c>
      <c r="Z198" s="32" t="str">
        <f t="shared" si="159"/>
        <v>0.999998407571318+0.00475621608352702i</v>
      </c>
      <c r="AA198" s="18">
        <f t="shared" si="173"/>
        <v>1.0000097183210797</v>
      </c>
      <c r="AB198" s="18">
        <f t="shared" si="174"/>
        <v>4.7561877933971009E-3</v>
      </c>
      <c r="AC198" s="68" t="str">
        <f t="shared" si="175"/>
        <v>7.06663677599922-10.7988880537837i</v>
      </c>
      <c r="AD198" s="66">
        <f t="shared" si="176"/>
        <v>22.215533424440402</v>
      </c>
      <c r="AE198" s="63">
        <f t="shared" si="177"/>
        <v>-56.799842315880596</v>
      </c>
      <c r="AF198" s="51" t="e">
        <f t="shared" si="178"/>
        <v>#NUM!</v>
      </c>
      <c r="AG198" s="51" t="str">
        <f t="shared" si="160"/>
        <v>1-2.10510803755265i</v>
      </c>
      <c r="AH198" s="51">
        <f t="shared" si="179"/>
        <v>2.3305535500753396</v>
      </c>
      <c r="AI198" s="51">
        <f t="shared" si="180"/>
        <v>-1.127319432593314</v>
      </c>
      <c r="AJ198" s="51" t="str">
        <f t="shared" si="161"/>
        <v>1+0.00701702679184215i</v>
      </c>
      <c r="AK198" s="51">
        <f t="shared" si="181"/>
        <v>1.0000246190294504</v>
      </c>
      <c r="AL198" s="51">
        <f t="shared" si="182"/>
        <v>7.0169116255673503E-3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-0.000170731707317073</v>
      </c>
      <c r="AT198" s="32" t="str">
        <f t="shared" si="164"/>
        <v>0.00015064803281921i</v>
      </c>
      <c r="AU198" s="32">
        <f t="shared" si="188"/>
        <v>1.5064803281920999E-4</v>
      </c>
      <c r="AV198" s="32">
        <f t="shared" si="189"/>
        <v>1.5707963267948966</v>
      </c>
      <c r="AW198" s="32" t="str">
        <f t="shared" si="165"/>
        <v>1+0.0320742598406772i</v>
      </c>
      <c r="AX198" s="32">
        <f t="shared" si="190"/>
        <v>1.0005142468472537</v>
      </c>
      <c r="AY198" s="32">
        <f t="shared" si="191"/>
        <v>3.2063267739463303E-2</v>
      </c>
      <c r="AZ198" s="32" t="str">
        <f t="shared" si="166"/>
        <v>1+0.609410936972868i</v>
      </c>
      <c r="BA198" s="32">
        <f t="shared" si="192"/>
        <v>1.1710600710903556</v>
      </c>
      <c r="BB198" s="32">
        <f t="shared" si="193"/>
        <v>0.54731058634443319</v>
      </c>
      <c r="BC198" s="60" t="str">
        <f t="shared" si="194"/>
        <v>-0.653632009635959+1.15427997534996i</v>
      </c>
      <c r="BD198" s="51">
        <f t="shared" si="195"/>
        <v>2.4541322903120686</v>
      </c>
      <c r="BE198" s="63">
        <f t="shared" si="196"/>
        <v>119.52149676149722</v>
      </c>
      <c r="BF198" s="60" t="str">
        <f t="shared" si="197"/>
        <v>7.84596023926468+15.2153762240359i</v>
      </c>
      <c r="BG198" s="66">
        <f t="shared" si="198"/>
        <v>24.669665714752476</v>
      </c>
      <c r="BH198" s="63">
        <f t="shared" si="199"/>
        <v>62.721654445616657</v>
      </c>
      <c r="BI198" s="60" t="e">
        <f t="shared" si="203"/>
        <v>#NUM!</v>
      </c>
      <c r="BJ198" s="66" t="e">
        <f t="shared" si="200"/>
        <v>#NUM!</v>
      </c>
      <c r="BK198" s="63" t="e">
        <f t="shared" si="204"/>
        <v>#NUM!</v>
      </c>
      <c r="BL198" s="51">
        <f t="shared" si="201"/>
        <v>24.669665714752476</v>
      </c>
      <c r="BM198" s="63">
        <f t="shared" si="202"/>
        <v>62.721654445616657</v>
      </c>
    </row>
    <row r="199" spans="14:65" x14ac:dyDescent="0.3">
      <c r="N199" s="11">
        <v>81</v>
      </c>
      <c r="O199" s="52">
        <f t="shared" si="205"/>
        <v>645.65422903465594</v>
      </c>
      <c r="P199" s="50" t="str">
        <f t="shared" si="155"/>
        <v>23.3035714285714</v>
      </c>
      <c r="Q199" s="18" t="str">
        <f t="shared" si="156"/>
        <v>1+1.53867307344394i</v>
      </c>
      <c r="R199" s="18">
        <f t="shared" si="167"/>
        <v>1.8350789702193802</v>
      </c>
      <c r="S199" s="18">
        <f t="shared" si="168"/>
        <v>0.99448392862340107</v>
      </c>
      <c r="T199" s="18" t="str">
        <f t="shared" si="157"/>
        <v>1+0.00718047434273838i</v>
      </c>
      <c r="U199" s="18">
        <f t="shared" si="169"/>
        <v>1.0000257792736078</v>
      </c>
      <c r="V199" s="18">
        <f t="shared" si="170"/>
        <v>7.18035094002343E-3</v>
      </c>
      <c r="W199" s="32" t="str">
        <f t="shared" si="158"/>
        <v>1-0.00991653707095067i</v>
      </c>
      <c r="X199" s="18">
        <f t="shared" si="171"/>
        <v>1.0000491676450112</v>
      </c>
      <c r="Y199" s="18">
        <f t="shared" si="172"/>
        <v>-9.91621203362128E-3</v>
      </c>
      <c r="Z199" s="32" t="str">
        <f t="shared" si="159"/>
        <v>0.999998332522466+0.00486700258804621i</v>
      </c>
      <c r="AA199" s="18">
        <f t="shared" si="173"/>
        <v>1.0000101763291733</v>
      </c>
      <c r="AB199" s="18">
        <f t="shared" si="174"/>
        <v>4.8669722746423946E-3</v>
      </c>
      <c r="AC199" s="68" t="str">
        <f t="shared" si="175"/>
        <v>6.83939992705636-10.7007834454862i</v>
      </c>
      <c r="AD199" s="66">
        <f t="shared" si="176"/>
        <v>22.075917104932334</v>
      </c>
      <c r="AE199" s="63">
        <f t="shared" si="177"/>
        <v>-57.415342168051652</v>
      </c>
      <c r="AF199" s="51" t="e">
        <f t="shared" si="178"/>
        <v>#NUM!</v>
      </c>
      <c r="AG199" s="51" t="str">
        <f t="shared" si="160"/>
        <v>1-2.15414230282152i</v>
      </c>
      <c r="AH199" s="51">
        <f t="shared" si="179"/>
        <v>2.3749376961944075</v>
      </c>
      <c r="AI199" s="51">
        <f t="shared" si="180"/>
        <v>-1.136178623205083</v>
      </c>
      <c r="AJ199" s="51" t="str">
        <f t="shared" si="161"/>
        <v>1+0.00718047434273838i</v>
      </c>
      <c r="AK199" s="51">
        <f t="shared" si="181"/>
        <v>1.0000257792736078</v>
      </c>
      <c r="AL199" s="51">
        <f t="shared" si="182"/>
        <v>7.18035094002343E-3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-0.000170731707317073</v>
      </c>
      <c r="AT199" s="32" t="str">
        <f t="shared" si="164"/>
        <v>0.000154157076284779i</v>
      </c>
      <c r="AU199" s="32">
        <f t="shared" si="188"/>
        <v>1.5415707628477901E-4</v>
      </c>
      <c r="AV199" s="32">
        <f t="shared" si="189"/>
        <v>1.5707963267948966</v>
      </c>
      <c r="AW199" s="32" t="str">
        <f t="shared" si="165"/>
        <v>1+0.032821365327557i</v>
      </c>
      <c r="AX199" s="32">
        <f t="shared" si="190"/>
        <v>1.0005384760327636</v>
      </c>
      <c r="AY199" s="32">
        <f t="shared" si="191"/>
        <v>3.2809587421230642E-2</v>
      </c>
      <c r="AZ199" s="32" t="str">
        <f t="shared" si="166"/>
        <v>1+0.623605941223584i</v>
      </c>
      <c r="BA199" s="32">
        <f t="shared" si="192"/>
        <v>1.1785093847438604</v>
      </c>
      <c r="BB199" s="32">
        <f t="shared" si="193"/>
        <v>0.5575962179634002</v>
      </c>
      <c r="BC199" s="60" t="str">
        <f t="shared" si="194"/>
        <v>-0.653600353123307+1.12896986463276i</v>
      </c>
      <c r="BD199" s="51">
        <f t="shared" si="195"/>
        <v>2.3089993870496275</v>
      </c>
      <c r="BE199" s="63">
        <f t="shared" si="196"/>
        <v>120.06805907495763</v>
      </c>
      <c r="BF199" s="60" t="str">
        <f t="shared" si="197"/>
        <v>7.61062783043948+14.7155122484839i</v>
      </c>
      <c r="BG199" s="66">
        <f t="shared" si="198"/>
        <v>24.384916491981944</v>
      </c>
      <c r="BH199" s="63">
        <f t="shared" si="199"/>
        <v>62.652716906905901</v>
      </c>
      <c r="BI199" s="60" t="e">
        <f t="shared" si="203"/>
        <v>#NUM!</v>
      </c>
      <c r="BJ199" s="66" t="e">
        <f t="shared" si="200"/>
        <v>#NUM!</v>
      </c>
      <c r="BK199" s="63" t="e">
        <f t="shared" si="204"/>
        <v>#NUM!</v>
      </c>
      <c r="BL199" s="51">
        <f t="shared" si="201"/>
        <v>24.384916491981944</v>
      </c>
      <c r="BM199" s="63">
        <f t="shared" si="202"/>
        <v>62.652716906905901</v>
      </c>
    </row>
    <row r="200" spans="14:65" x14ac:dyDescent="0.3">
      <c r="N200" s="11">
        <v>82</v>
      </c>
      <c r="O200" s="52">
        <f t="shared" si="205"/>
        <v>660.69344800759643</v>
      </c>
      <c r="P200" s="50" t="str">
        <f t="shared" si="155"/>
        <v>23.3035714285714</v>
      </c>
      <c r="Q200" s="18" t="str">
        <f t="shared" si="156"/>
        <v>1+1.57451337346627i</v>
      </c>
      <c r="R200" s="18">
        <f t="shared" si="167"/>
        <v>1.8652325225623037</v>
      </c>
      <c r="S200" s="18">
        <f t="shared" si="168"/>
        <v>1.004955017245269</v>
      </c>
      <c r="T200" s="18" t="str">
        <f t="shared" si="157"/>
        <v>1+0.00734772907617594i</v>
      </c>
      <c r="U200" s="18">
        <f t="shared" si="169"/>
        <v>1.0000269941969451</v>
      </c>
      <c r="V200" s="18">
        <f t="shared" si="170"/>
        <v>7.3475968479773252E-3</v>
      </c>
      <c r="W200" s="32" t="str">
        <f t="shared" si="158"/>
        <v>1-0.0101475228923961i</v>
      </c>
      <c r="X200" s="18">
        <f t="shared" si="171"/>
        <v>1.0000514847850843</v>
      </c>
      <c r="Y200" s="18">
        <f t="shared" si="172"/>
        <v>-1.0147174609591128E-2</v>
      </c>
      <c r="Z200" s="32" t="str">
        <f t="shared" si="159"/>
        <v>0.999998253936671+0.00498036964175998i</v>
      </c>
      <c r="AA200" s="18">
        <f t="shared" si="173"/>
        <v>1.0000106559223052</v>
      </c>
      <c r="AB200" s="18">
        <f t="shared" si="174"/>
        <v>4.9803371603811403E-3</v>
      </c>
      <c r="AC200" s="68" t="str">
        <f t="shared" si="175"/>
        <v>6.61637255410188-10.5988773407468i</v>
      </c>
      <c r="AD200" s="66">
        <f t="shared" si="176"/>
        <v>21.934379196935765</v>
      </c>
      <c r="AE200" s="63">
        <f t="shared" si="177"/>
        <v>-58.025437378651908</v>
      </c>
      <c r="AF200" s="51" t="e">
        <f t="shared" si="178"/>
        <v>#NUM!</v>
      </c>
      <c r="AG200" s="51" t="str">
        <f t="shared" si="160"/>
        <v>1-2.20431872285279i</v>
      </c>
      <c r="AH200" s="51">
        <f t="shared" si="179"/>
        <v>2.420541474943025</v>
      </c>
      <c r="AI200" s="51">
        <f t="shared" si="180"/>
        <v>-1.1449071397094421</v>
      </c>
      <c r="AJ200" s="51" t="str">
        <f t="shared" si="161"/>
        <v>1+0.00734772907617594i</v>
      </c>
      <c r="AK200" s="51">
        <f t="shared" si="181"/>
        <v>1.0000269941969451</v>
      </c>
      <c r="AL200" s="51">
        <f t="shared" si="182"/>
        <v>7.3475968479773252E-3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-0.000170731707317073</v>
      </c>
      <c r="AT200" s="32" t="str">
        <f t="shared" si="164"/>
        <v>0.000157747855872704i</v>
      </c>
      <c r="AU200" s="32">
        <f t="shared" si="188"/>
        <v>1.57747855872704E-4</v>
      </c>
      <c r="AV200" s="32">
        <f t="shared" si="189"/>
        <v>1.5707963267948966</v>
      </c>
      <c r="AW200" s="32" t="str">
        <f t="shared" si="165"/>
        <v>1+0.0335858731367756i</v>
      </c>
      <c r="AX200" s="32">
        <f t="shared" si="190"/>
        <v>1.0005638464757558</v>
      </c>
      <c r="AY200" s="32">
        <f t="shared" si="191"/>
        <v>3.3573253266844398E-2</v>
      </c>
      <c r="AZ200" s="32" t="str">
        <f t="shared" si="166"/>
        <v>1+0.638131589598737i</v>
      </c>
      <c r="BA200" s="32">
        <f t="shared" si="192"/>
        <v>1.1862596366916522</v>
      </c>
      <c r="BB200" s="32">
        <f t="shared" si="193"/>
        <v>0.56798657670816022</v>
      </c>
      <c r="BC200" s="60" t="str">
        <f t="shared" si="194"/>
        <v>-0.653567207971545+1.10425825083183i</v>
      </c>
      <c r="BD200" s="51">
        <f t="shared" si="195"/>
        <v>2.165713307967664</v>
      </c>
      <c r="BE200" s="63">
        <f t="shared" si="196"/>
        <v>120.61962794874725</v>
      </c>
      <c r="BF200" s="60" t="str">
        <f t="shared" si="197"/>
        <v>7.37965361599025+14.233262654669i</v>
      </c>
      <c r="BG200" s="66">
        <f t="shared" si="198"/>
        <v>24.100092504903419</v>
      </c>
      <c r="BH200" s="63">
        <f t="shared" si="199"/>
        <v>62.594190570095307</v>
      </c>
      <c r="BI200" s="60" t="e">
        <f t="shared" si="203"/>
        <v>#NUM!</v>
      </c>
      <c r="BJ200" s="66" t="e">
        <f t="shared" si="200"/>
        <v>#NUM!</v>
      </c>
      <c r="BK200" s="63" t="e">
        <f t="shared" si="204"/>
        <v>#NUM!</v>
      </c>
      <c r="BL200" s="51">
        <f t="shared" si="201"/>
        <v>24.100092504903419</v>
      </c>
      <c r="BM200" s="63">
        <f t="shared" si="202"/>
        <v>62.594190570095307</v>
      </c>
    </row>
    <row r="201" spans="14:65" x14ac:dyDescent="0.3">
      <c r="N201" s="11">
        <v>83</v>
      </c>
      <c r="O201" s="52">
        <f t="shared" si="205"/>
        <v>676.08297539198213</v>
      </c>
      <c r="P201" s="50" t="str">
        <f t="shared" si="155"/>
        <v>23.3035714285714</v>
      </c>
      <c r="Q201" s="18" t="str">
        <f t="shared" si="156"/>
        <v>1+1.61118850132037i</v>
      </c>
      <c r="R201" s="18">
        <f t="shared" si="167"/>
        <v>1.8962933282556738</v>
      </c>
      <c r="S201" s="18">
        <f t="shared" si="168"/>
        <v>1.0153241138970286</v>
      </c>
      <c r="T201" s="18" t="str">
        <f t="shared" si="157"/>
        <v>1+0.00751887967282838i</v>
      </c>
      <c r="U201" s="18">
        <f t="shared" si="169"/>
        <v>1.0000282663762732</v>
      </c>
      <c r="V201" s="18">
        <f t="shared" si="170"/>
        <v>7.5187379879771621E-3</v>
      </c>
      <c r="W201" s="32" t="str">
        <f t="shared" si="158"/>
        <v>1-0.0103838890647975i</v>
      </c>
      <c r="X201" s="18">
        <f t="shared" si="171"/>
        <v>1.0000539111228504</v>
      </c>
      <c r="Y201" s="18">
        <f t="shared" si="172"/>
        <v>-1.0383515874134837E-2</v>
      </c>
      <c r="Z201" s="32" t="str">
        <f t="shared" si="159"/>
        <v>0.999998171647242+0.0050963773533808i</v>
      </c>
      <c r="AA201" s="18">
        <f t="shared" si="173"/>
        <v>1.0000111581177258</v>
      </c>
      <c r="AB201" s="18">
        <f t="shared" si="174"/>
        <v>5.0963425489771305E-3</v>
      </c>
      <c r="AC201" s="68" t="str">
        <f t="shared" si="175"/>
        <v>6.39766858289698-10.4933838107134i</v>
      </c>
      <c r="AD201" s="66">
        <f t="shared" si="176"/>
        <v>21.790956202954138</v>
      </c>
      <c r="AE201" s="63">
        <f t="shared" si="177"/>
        <v>-58.629925165288348</v>
      </c>
      <c r="AF201" s="51" t="e">
        <f t="shared" si="178"/>
        <v>#NUM!</v>
      </c>
      <c r="AG201" s="51" t="str">
        <f t="shared" si="160"/>
        <v>1-2.25566390184852i</v>
      </c>
      <c r="AH201" s="51">
        <f t="shared" si="179"/>
        <v>2.4673912616572364</v>
      </c>
      <c r="AI201" s="51">
        <f t="shared" si="180"/>
        <v>-1.1535042890566944</v>
      </c>
      <c r="AJ201" s="51" t="str">
        <f t="shared" si="161"/>
        <v>1+0.00751887967282838i</v>
      </c>
      <c r="AK201" s="51">
        <f t="shared" si="181"/>
        <v>1.0000282663762732</v>
      </c>
      <c r="AL201" s="51">
        <f t="shared" si="182"/>
        <v>7.5187379879771621E-3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-0.000170731707317073</v>
      </c>
      <c r="AT201" s="32" t="str">
        <f t="shared" si="164"/>
        <v>0.000161422275461852i</v>
      </c>
      <c r="AU201" s="32">
        <f t="shared" si="188"/>
        <v>1.6142227546185199E-4</v>
      </c>
      <c r="AV201" s="32">
        <f t="shared" si="189"/>
        <v>1.5707963267948966</v>
      </c>
      <c r="AW201" s="32" t="str">
        <f t="shared" si="165"/>
        <v>1+0.0343681886204929i</v>
      </c>
      <c r="AX201" s="32">
        <f t="shared" si="190"/>
        <v>1.0005904119014202</v>
      </c>
      <c r="AY201" s="32">
        <f t="shared" si="191"/>
        <v>3.4354666617136813E-2</v>
      </c>
      <c r="AZ201" s="32" t="str">
        <f t="shared" si="166"/>
        <v>1+0.652995583789366i</v>
      </c>
      <c r="BA201" s="32">
        <f t="shared" si="192"/>
        <v>1.1943212434049788</v>
      </c>
      <c r="BB201" s="32">
        <f t="shared" si="193"/>
        <v>0.57847819746649409</v>
      </c>
      <c r="BC201" s="60" t="str">
        <f t="shared" si="194"/>
        <v>-0.653532504339789+1.08013202454026i</v>
      </c>
      <c r="BD201" s="51">
        <f t="shared" si="195"/>
        <v>2.0243107705332077</v>
      </c>
      <c r="BE201" s="63">
        <f t="shared" si="196"/>
        <v>121.17598185142454</v>
      </c>
      <c r="BF201" s="60" t="str">
        <f t="shared" si="197"/>
        <v>7.1531555288272+13.7680941195963i</v>
      </c>
      <c r="BG201" s="66">
        <f t="shared" si="198"/>
        <v>23.815266973487368</v>
      </c>
      <c r="BH201" s="63">
        <f t="shared" si="199"/>
        <v>62.546056686136268</v>
      </c>
      <c r="BI201" s="60" t="e">
        <f t="shared" si="203"/>
        <v>#NUM!</v>
      </c>
      <c r="BJ201" s="66" t="e">
        <f t="shared" si="200"/>
        <v>#NUM!</v>
      </c>
      <c r="BK201" s="63" t="e">
        <f t="shared" si="204"/>
        <v>#NUM!</v>
      </c>
      <c r="BL201" s="51">
        <f t="shared" si="201"/>
        <v>23.815266973487368</v>
      </c>
      <c r="BM201" s="63">
        <f t="shared" si="202"/>
        <v>62.546056686136268</v>
      </c>
    </row>
    <row r="202" spans="14:65" x14ac:dyDescent="0.3">
      <c r="N202" s="11">
        <v>84</v>
      </c>
      <c r="O202" s="52">
        <f t="shared" si="205"/>
        <v>691.83097091893671</v>
      </c>
      <c r="P202" s="50" t="str">
        <f t="shared" si="155"/>
        <v>23.3035714285714</v>
      </c>
      <c r="Q202" s="18" t="str">
        <f t="shared" si="156"/>
        <v>1+1.64871790264446i</v>
      </c>
      <c r="R202" s="18">
        <f t="shared" si="167"/>
        <v>1.9282818057795255</v>
      </c>
      <c r="S202" s="18">
        <f t="shared" si="168"/>
        <v>1.0255877971532816</v>
      </c>
      <c r="T202" s="18" t="str">
        <f t="shared" si="157"/>
        <v>1+0.00769401687900748i</v>
      </c>
      <c r="U202" s="18">
        <f t="shared" si="169"/>
        <v>1.0000295985098313</v>
      </c>
      <c r="V202" s="18">
        <f t="shared" si="170"/>
        <v>7.6938650611968265E-3</v>
      </c>
      <c r="W202" s="32" t="str">
        <f t="shared" si="158"/>
        <v>1-0.010625760912628i</v>
      </c>
      <c r="X202" s="18">
        <f t="shared" si="171"/>
        <v>1.0000564518040831</v>
      </c>
      <c r="Y202" s="18">
        <f t="shared" si="172"/>
        <v>-1.0625361032847542E-2</v>
      </c>
      <c r="Z202" s="32" t="str">
        <f t="shared" si="159"/>
        <v>0.999998085479631+0.00521508723173291i</v>
      </c>
      <c r="AA202" s="18">
        <f t="shared" si="173"/>
        <v>1.0000116839806232</v>
      </c>
      <c r="AB202" s="18">
        <f t="shared" si="174"/>
        <v>5.2150499381658326E-3</v>
      </c>
      <c r="AC202" s="68" t="str">
        <f t="shared" si="175"/>
        <v>6.18338858189923-10.3845190865999i</v>
      </c>
      <c r="AD202" s="66">
        <f t="shared" si="176"/>
        <v>21.645685543987337</v>
      </c>
      <c r="AE202" s="63">
        <f t="shared" si="177"/>
        <v>-59.228614995244421</v>
      </c>
      <c r="AF202" s="51" t="e">
        <f t="shared" si="178"/>
        <v>#NUM!</v>
      </c>
      <c r="AG202" s="51" t="str">
        <f t="shared" si="160"/>
        <v>1-2.30820506370225i</v>
      </c>
      <c r="AH202" s="51">
        <f t="shared" si="179"/>
        <v>2.515513986464935</v>
      </c>
      <c r="AI202" s="51">
        <f t="shared" si="180"/>
        <v>-1.1619695451387051</v>
      </c>
      <c r="AJ202" s="51" t="str">
        <f t="shared" si="161"/>
        <v>1+0.00769401687900748i</v>
      </c>
      <c r="AK202" s="51">
        <f t="shared" si="181"/>
        <v>1.0000295985098313</v>
      </c>
      <c r="AL202" s="51">
        <f t="shared" si="182"/>
        <v>7.6938650611968265E-3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-0.000170731707317073</v>
      </c>
      <c r="AT202" s="32" t="str">
        <f t="shared" si="164"/>
        <v>0.000165182283278127i</v>
      </c>
      <c r="AU202" s="32">
        <f t="shared" si="188"/>
        <v>1.6518228327812699E-4</v>
      </c>
      <c r="AV202" s="32">
        <f t="shared" si="189"/>
        <v>1.5707963267948966</v>
      </c>
      <c r="AW202" s="32" t="str">
        <f t="shared" si="165"/>
        <v>1+0.0351687265727335i</v>
      </c>
      <c r="AX202" s="32">
        <f t="shared" si="190"/>
        <v>1.0006182285610969</v>
      </c>
      <c r="AY202" s="32">
        <f t="shared" si="191"/>
        <v>3.515423796853754E-2</v>
      </c>
      <c r="AZ202" s="32" t="str">
        <f t="shared" si="166"/>
        <v>1+0.668205804881938i</v>
      </c>
      <c r="BA202" s="32">
        <f t="shared" si="192"/>
        <v>1.2027048672379765</v>
      </c>
      <c r="BB202" s="32">
        <f t="shared" si="193"/>
        <v>0.589067403966961</v>
      </c>
      <c r="BC202" s="60" t="str">
        <f t="shared" si="194"/>
        <v>-0.653496169126102+1.0565783862339i</v>
      </c>
      <c r="BD202" s="51">
        <f t="shared" si="195"/>
        <v>1.8848275310429781</v>
      </c>
      <c r="BE202" s="63">
        <f t="shared" si="196"/>
        <v>121.73688662843907</v>
      </c>
      <c r="BF202" s="60" t="str">
        <f t="shared" si="197"/>
        <v>6.93123766784563+13.3194781706301i</v>
      </c>
      <c r="BG202" s="66">
        <f t="shared" si="198"/>
        <v>23.530513075030299</v>
      </c>
      <c r="BH202" s="63">
        <f t="shared" si="199"/>
        <v>62.508271633194596</v>
      </c>
      <c r="BI202" s="60" t="e">
        <f t="shared" si="203"/>
        <v>#NUM!</v>
      </c>
      <c r="BJ202" s="66" t="e">
        <f t="shared" si="200"/>
        <v>#NUM!</v>
      </c>
      <c r="BK202" s="63" t="e">
        <f t="shared" si="204"/>
        <v>#NUM!</v>
      </c>
      <c r="BL202" s="51">
        <f t="shared" si="201"/>
        <v>23.530513075030299</v>
      </c>
      <c r="BM202" s="63">
        <f t="shared" si="202"/>
        <v>62.508271633194596</v>
      </c>
    </row>
    <row r="203" spans="14:65" x14ac:dyDescent="0.3">
      <c r="N203" s="11">
        <v>85</v>
      </c>
      <c r="O203" s="52">
        <f t="shared" si="205"/>
        <v>707.94578438413873</v>
      </c>
      <c r="P203" s="50" t="str">
        <f t="shared" si="155"/>
        <v>23.3035714285714</v>
      </c>
      <c r="Q203" s="18" t="str">
        <f t="shared" si="156"/>
        <v>1+1.6871214760239i</v>
      </c>
      <c r="R203" s="18">
        <f t="shared" si="167"/>
        <v>1.9612187218311634</v>
      </c>
      <c r="S203" s="18">
        <f t="shared" si="168"/>
        <v>1.0357428588695001</v>
      </c>
      <c r="T203" s="18" t="str">
        <f t="shared" si="157"/>
        <v>1+0.00787323355477821i</v>
      </c>
      <c r="U203" s="18">
        <f t="shared" si="169"/>
        <v>1.0000309934230081</v>
      </c>
      <c r="V203" s="18">
        <f t="shared" si="170"/>
        <v>7.8730708793355118E-3</v>
      </c>
      <c r="W203" s="32" t="str">
        <f t="shared" si="158"/>
        <v>1-0.010873266679543i</v>
      </c>
      <c r="X203" s="18">
        <f t="shared" si="171"/>
        <v>1.0000591122170153</v>
      </c>
      <c r="Y203" s="18">
        <f t="shared" si="172"/>
        <v>-1.0872838202006328E-2</v>
      </c>
      <c r="Z203" s="32" t="str">
        <f t="shared" si="159"/>
        <v>0.999997995251065+0.00533656221836513i</v>
      </c>
      <c r="AA203" s="18">
        <f t="shared" si="173"/>
        <v>1.0000122346263869</v>
      </c>
      <c r="AB203" s="18">
        <f t="shared" si="174"/>
        <v>5.3365222576142622E-3</v>
      </c>
      <c r="AC203" s="68" t="str">
        <f t="shared" si="175"/>
        <v>5.97361990745379-10.2725006327566i</v>
      </c>
      <c r="AD203" s="66">
        <f t="shared" si="176"/>
        <v>21.498605446150009</v>
      </c>
      <c r="AE203" s="63">
        <f t="shared" si="177"/>
        <v>-59.821328683785495</v>
      </c>
      <c r="AF203" s="51" t="e">
        <f t="shared" si="178"/>
        <v>#NUM!</v>
      </c>
      <c r="AG203" s="51" t="str">
        <f t="shared" si="160"/>
        <v>1-2.36197006643347i</v>
      </c>
      <c r="AH203" s="51">
        <f t="shared" si="179"/>
        <v>2.5649371521984183</v>
      </c>
      <c r="AI203" s="51">
        <f t="shared" si="180"/>
        <v>-1.1703025422980358</v>
      </c>
      <c r="AJ203" s="51" t="str">
        <f t="shared" si="161"/>
        <v>1+0.00787323355477821i</v>
      </c>
      <c r="AK203" s="51">
        <f t="shared" si="181"/>
        <v>1.0000309934230081</v>
      </c>
      <c r="AL203" s="51">
        <f t="shared" si="182"/>
        <v>7.8730708793355118E-3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-0.000170731707317073</v>
      </c>
      <c r="AT203" s="32" t="str">
        <f t="shared" si="164"/>
        <v>0.000169029872927442i</v>
      </c>
      <c r="AU203" s="32">
        <f t="shared" si="188"/>
        <v>1.6902987292744201E-4</v>
      </c>
      <c r="AV203" s="32">
        <f t="shared" si="189"/>
        <v>1.5707963267948966</v>
      </c>
      <c r="AW203" s="32" t="str">
        <f t="shared" si="165"/>
        <v>1+0.0359879114493162i</v>
      </c>
      <c r="AX203" s="32">
        <f t="shared" si="190"/>
        <v>1.0006473553507669</v>
      </c>
      <c r="AY203" s="32">
        <f t="shared" si="191"/>
        <v>3.5972387172605036E-2</v>
      </c>
      <c r="AZ203" s="32" t="str">
        <f t="shared" si="166"/>
        <v>1+0.683770317537009i</v>
      </c>
      <c r="BA203" s="32">
        <f t="shared" si="192"/>
        <v>1.2114214160005023</v>
      </c>
      <c r="BB203" s="32">
        <f t="shared" si="193"/>
        <v>0.59975031156557923</v>
      </c>
      <c r="BC203" s="60" t="str">
        <f t="shared" si="194"/>
        <v>-0.653458125816753+1.03358483944962i</v>
      </c>
      <c r="BD203" s="51">
        <f t="shared" si="195"/>
        <v>1.7472982690594472</v>
      </c>
      <c r="BE203" s="63">
        <f t="shared" si="196"/>
        <v>122.30209565036317</v>
      </c>
      <c r="BF203" s="60" t="str">
        <f t="shared" si="197"/>
        <v>6.71399044818745+12.8868919839112i</v>
      </c>
      <c r="BG203" s="66">
        <f t="shared" si="198"/>
        <v>23.245903715209444</v>
      </c>
      <c r="BH203" s="63">
        <f t="shared" si="199"/>
        <v>62.480766966577661</v>
      </c>
      <c r="BI203" s="60" t="e">
        <f t="shared" si="203"/>
        <v>#NUM!</v>
      </c>
      <c r="BJ203" s="66" t="e">
        <f t="shared" si="200"/>
        <v>#NUM!</v>
      </c>
      <c r="BK203" s="63" t="e">
        <f t="shared" si="204"/>
        <v>#NUM!</v>
      </c>
      <c r="BL203" s="51">
        <f t="shared" si="201"/>
        <v>23.245903715209444</v>
      </c>
      <c r="BM203" s="63">
        <f t="shared" si="202"/>
        <v>62.480766966577661</v>
      </c>
    </row>
    <row r="204" spans="14:65" x14ac:dyDescent="0.3">
      <c r="N204" s="11">
        <v>86</v>
      </c>
      <c r="O204" s="52">
        <f t="shared" si="205"/>
        <v>724.43596007499025</v>
      </c>
      <c r="P204" s="50" t="str">
        <f t="shared" si="155"/>
        <v>23.3035714285714</v>
      </c>
      <c r="Q204" s="18" t="str">
        <f t="shared" si="156"/>
        <v>1+1.72641958354162i</v>
      </c>
      <c r="R204" s="18">
        <f t="shared" si="167"/>
        <v>1.9951252036992619</v>
      </c>
      <c r="S204" s="18">
        <f t="shared" si="168"/>
        <v>1.0457863049534992</v>
      </c>
      <c r="T204" s="18" t="str">
        <f t="shared" si="157"/>
        <v>1+0.00805662472319423i</v>
      </c>
      <c r="U204" s="18">
        <f t="shared" si="169"/>
        <v>1.0000324540743317</v>
      </c>
      <c r="V204" s="18">
        <f t="shared" si="170"/>
        <v>8.0564504136224121E-3</v>
      </c>
      <c r="W204" s="32" t="str">
        <f t="shared" si="158"/>
        <v>1-0.0111265375963762i</v>
      </c>
      <c r="X204" s="18">
        <f t="shared" si="171"/>
        <v>1.0000618980037603</v>
      </c>
      <c r="Y204" s="18">
        <f t="shared" si="172"/>
        <v>-1.1126078475958551E-2</v>
      </c>
      <c r="Z204" s="32" t="str">
        <f t="shared" si="159"/>
        <v>0.999997900770159+0.00546086672092327i</v>
      </c>
      <c r="AA204" s="18">
        <f t="shared" si="173"/>
        <v>1.0000128112229705</v>
      </c>
      <c r="AB204" s="18">
        <f t="shared" si="174"/>
        <v>5.46082390223667E-3</v>
      </c>
      <c r="AC204" s="68" t="str">
        <f t="shared" si="175"/>
        <v>5.7684369178209-10.1575462565898i</v>
      </c>
      <c r="AD204" s="66">
        <f t="shared" si="176"/>
        <v>21.349754828833905</v>
      </c>
      <c r="AE204" s="63">
        <f t="shared" si="177"/>
        <v>-60.407900441326007</v>
      </c>
      <c r="AF204" s="51" t="e">
        <f t="shared" si="178"/>
        <v>#NUM!</v>
      </c>
      <c r="AG204" s="51" t="str">
        <f t="shared" si="160"/>
        <v>1-2.41698741695827i</v>
      </c>
      <c r="AH204" s="51">
        <f t="shared" si="179"/>
        <v>2.6156888526226907</v>
      </c>
      <c r="AI204" s="51">
        <f t="shared" si="180"/>
        <v>-1.1785030686793594</v>
      </c>
      <c r="AJ204" s="51" t="str">
        <f t="shared" si="161"/>
        <v>1+0.00805662472319423i</v>
      </c>
      <c r="AK204" s="51">
        <f t="shared" si="181"/>
        <v>1.0000324540743317</v>
      </c>
      <c r="AL204" s="51">
        <f t="shared" si="182"/>
        <v>8.0564504136224121E-3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-0.000170731707317073</v>
      </c>
      <c r="AT204" s="32" t="str">
        <f t="shared" si="164"/>
        <v>0.000172967084452757i</v>
      </c>
      <c r="AU204" s="32">
        <f t="shared" si="188"/>
        <v>1.7296708445275699E-4</v>
      </c>
      <c r="AV204" s="32">
        <f t="shared" si="189"/>
        <v>1.5707963267948966</v>
      </c>
      <c r="AW204" s="32" t="str">
        <f t="shared" si="165"/>
        <v>1+0.0368261775929056i</v>
      </c>
      <c r="AX204" s="32">
        <f t="shared" si="190"/>
        <v>1.0006778539350734</v>
      </c>
      <c r="AY204" s="32">
        <f t="shared" si="191"/>
        <v>3.680954363923037E-2</v>
      </c>
      <c r="AZ204" s="32" t="str">
        <f t="shared" si="166"/>
        <v>1+0.699697374265207i</v>
      </c>
      <c r="BA204" s="32">
        <f t="shared" si="192"/>
        <v>1.2204820422905145</v>
      </c>
      <c r="BB204" s="32">
        <f t="shared" si="193"/>
        <v>0.61052283099188909</v>
      </c>
      <c r="BC204" s="60" t="str">
        <f t="shared" si="194"/>
        <v>-0.653418294328615+1.01113918412163i</v>
      </c>
      <c r="BD204" s="51">
        <f t="shared" si="195"/>
        <v>1.6117564716632655</v>
      </c>
      <c r="BE204" s="63">
        <f t="shared" si="196"/>
        <v>122.87135001588362</v>
      </c>
      <c r="BF204" s="60" t="str">
        <f t="shared" si="197"/>
        <v>6.50149082278118+12.4698191482874i</v>
      </c>
      <c r="BG204" s="66">
        <f t="shared" si="198"/>
        <v>22.961511300497154</v>
      </c>
      <c r="BH204" s="63">
        <f t="shared" si="199"/>
        <v>62.463449574557565</v>
      </c>
      <c r="BI204" s="60" t="e">
        <f t="shared" si="203"/>
        <v>#NUM!</v>
      </c>
      <c r="BJ204" s="66" t="e">
        <f t="shared" si="200"/>
        <v>#NUM!</v>
      </c>
      <c r="BK204" s="63" t="e">
        <f t="shared" si="204"/>
        <v>#NUM!</v>
      </c>
      <c r="BL204" s="51">
        <f t="shared" si="201"/>
        <v>22.961511300497154</v>
      </c>
      <c r="BM204" s="63">
        <f t="shared" si="202"/>
        <v>62.463449574557565</v>
      </c>
    </row>
    <row r="205" spans="14:65" x14ac:dyDescent="0.3">
      <c r="N205" s="11">
        <v>87</v>
      </c>
      <c r="O205" s="52">
        <f t="shared" si="205"/>
        <v>741.31024130091828</v>
      </c>
      <c r="P205" s="50" t="str">
        <f t="shared" si="155"/>
        <v>23.3035714285714</v>
      </c>
      <c r="Q205" s="18" t="str">
        <f t="shared" si="156"/>
        <v>1+1.7666330615744i</v>
      </c>
      <c r="R205" s="18">
        <f t="shared" si="167"/>
        <v>2.0300227521502654</v>
      </c>
      <c r="S205" s="18">
        <f t="shared" si="168"/>
        <v>1.0557153552819787</v>
      </c>
      <c r="T205" s="18" t="str">
        <f t="shared" si="157"/>
        <v>1+0.00824428762068052i</v>
      </c>
      <c r="U205" s="18">
        <f t="shared" si="169"/>
        <v>1.0000339835617449</v>
      </c>
      <c r="V205" s="18">
        <f t="shared" si="170"/>
        <v>8.2441008449520275E-3</v>
      </c>
      <c r="W205" s="32" t="str">
        <f t="shared" si="158"/>
        <v>1-0.0113857079507201i</v>
      </c>
      <c r="X205" s="18">
        <f t="shared" si="171"/>
        <v>1.0000648150722726</v>
      </c>
      <c r="Y205" s="18">
        <f t="shared" si="172"/>
        <v>-1.1385215996051169E-2</v>
      </c>
      <c r="Z205" s="32" t="str">
        <f t="shared" si="159"/>
        <v>0.999997801836505+0.00558806664729996i</v>
      </c>
      <c r="AA205" s="18">
        <f t="shared" si="173"/>
        <v>1.0000134149933673</v>
      </c>
      <c r="AB205" s="18">
        <f t="shared" si="174"/>
        <v>5.5880207662836398E-3</v>
      </c>
      <c r="AC205" s="68" t="str">
        <f t="shared" si="175"/>
        <v>5.56790125044112-10.0398732603589i</v>
      </c>
      <c r="AD205" s="66">
        <f t="shared" si="176"/>
        <v>21.199173194977902</v>
      </c>
      <c r="AE205" s="63">
        <f t="shared" si="177"/>
        <v>-60.988176871673808</v>
      </c>
      <c r="AF205" s="51" t="e">
        <f t="shared" si="178"/>
        <v>#NUM!</v>
      </c>
      <c r="AG205" s="51" t="str">
        <f t="shared" si="160"/>
        <v>1-2.47328628620416i</v>
      </c>
      <c r="AH205" s="51">
        <f t="shared" si="179"/>
        <v>2.6677977909739647</v>
      </c>
      <c r="AI205" s="51">
        <f t="shared" si="180"/>
        <v>-1.1865710594664773</v>
      </c>
      <c r="AJ205" s="51" t="str">
        <f t="shared" si="161"/>
        <v>1+0.00824428762068052i</v>
      </c>
      <c r="AK205" s="51">
        <f t="shared" si="181"/>
        <v>1.0000339835617449</v>
      </c>
      <c r="AL205" s="51">
        <f t="shared" si="182"/>
        <v>8.2441008449520275E-3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-0.000170731707317073</v>
      </c>
      <c r="AT205" s="32" t="str">
        <f t="shared" si="164"/>
        <v>0.00017699600541574i</v>
      </c>
      <c r="AU205" s="32">
        <f t="shared" si="188"/>
        <v>1.7699600541574E-4</v>
      </c>
      <c r="AV205" s="32">
        <f t="shared" si="189"/>
        <v>1.5707963267948966</v>
      </c>
      <c r="AW205" s="32" t="str">
        <f t="shared" si="165"/>
        <v>1+0.0376839694633068i</v>
      </c>
      <c r="AX205" s="32">
        <f t="shared" si="190"/>
        <v>1.0007097888771306</v>
      </c>
      <c r="AY205" s="32">
        <f t="shared" si="191"/>
        <v>3.7666146543531877E-2</v>
      </c>
      <c r="AZ205" s="32" t="str">
        <f t="shared" si="166"/>
        <v>1+0.71599541980283i</v>
      </c>
      <c r="BA205" s="32">
        <f t="shared" si="192"/>
        <v>1.2298981426031306</v>
      </c>
      <c r="BB205" s="32">
        <f t="shared" si="193"/>
        <v>0.62138067307360101</v>
      </c>
      <c r="BC205" s="60" t="str">
        <f t="shared" si="194"/>
        <v>-0.653376590844456+0.989229510072307i</v>
      </c>
      <c r="BD205" s="51">
        <f t="shared" si="195"/>
        <v>1.4782343182179745</v>
      </c>
      <c r="BE205" s="63">
        <f t="shared" si="196"/>
        <v>123.44437881065012</v>
      </c>
      <c r="BF205" s="60" t="str">
        <f t="shared" si="197"/>
        <v>6.29380256936109+12.0677503894686i</v>
      </c>
      <c r="BG205" s="66">
        <f t="shared" si="198"/>
        <v>22.677407513195895</v>
      </c>
      <c r="BH205" s="63">
        <f t="shared" si="199"/>
        <v>62.456201938976392</v>
      </c>
      <c r="BI205" s="60" t="e">
        <f t="shared" si="203"/>
        <v>#NUM!</v>
      </c>
      <c r="BJ205" s="66" t="e">
        <f t="shared" si="200"/>
        <v>#NUM!</v>
      </c>
      <c r="BK205" s="63" t="e">
        <f t="shared" si="204"/>
        <v>#NUM!</v>
      </c>
      <c r="BL205" s="51">
        <f t="shared" si="201"/>
        <v>22.677407513195895</v>
      </c>
      <c r="BM205" s="63">
        <f t="shared" si="202"/>
        <v>62.456201938976392</v>
      </c>
    </row>
    <row r="206" spans="14:65" x14ac:dyDescent="0.3">
      <c r="N206" s="11">
        <v>88</v>
      </c>
      <c r="O206" s="52">
        <f t="shared" si="205"/>
        <v>758.57757502918378</v>
      </c>
      <c r="P206" s="50" t="str">
        <f t="shared" si="155"/>
        <v>23.3035714285714</v>
      </c>
      <c r="Q206" s="18" t="str">
        <f t="shared" si="156"/>
        <v>1+1.80778323184057i</v>
      </c>
      <c r="R206" s="18">
        <f t="shared" si="167"/>
        <v>2.0659332548085709</v>
      </c>
      <c r="S206" s="18">
        <f t="shared" si="168"/>
        <v>1.0655274428054262</v>
      </c>
      <c r="T206" s="18" t="str">
        <f t="shared" si="157"/>
        <v>1+0.00843632174858935i</v>
      </c>
      <c r="U206" s="18">
        <f t="shared" si="169"/>
        <v>1.0000355851291722</v>
      </c>
      <c r="V206" s="18">
        <f t="shared" si="170"/>
        <v>8.4361216151751448E-3</v>
      </c>
      <c r="W206" s="32" t="str">
        <f t="shared" si="158"/>
        <v>1-0.0116509151581272i</v>
      </c>
      <c r="X206" s="18">
        <f t="shared" si="171"/>
        <v>1.000067869608869</v>
      </c>
      <c r="Y206" s="18">
        <f t="shared" si="172"/>
        <v>-1.165038802113425E-2</v>
      </c>
      <c r="Z206" s="32" t="str">
        <f t="shared" si="159"/>
        <v>0.999997698240251+0.00571822944057986i</v>
      </c>
      <c r="AA206" s="18">
        <f t="shared" si="173"/>
        <v>1.0000140472182055</v>
      </c>
      <c r="AB206" s="18">
        <f t="shared" si="174"/>
        <v>5.7181802782221534E-3</v>
      </c>
      <c r="AC206" s="68" t="str">
        <f t="shared" si="175"/>
        <v>5.37206215653809-9.91969763911399i</v>
      </c>
      <c r="AD206" s="66">
        <f t="shared" si="176"/>
        <v>21.046900523962236</v>
      </c>
      <c r="AE206" s="63">
        <f t="shared" si="177"/>
        <v>-61.562016923847303</v>
      </c>
      <c r="AF206" s="51" t="e">
        <f t="shared" si="178"/>
        <v>#NUM!</v>
      </c>
      <c r="AG206" s="51" t="str">
        <f t="shared" si="160"/>
        <v>1-2.53089652457681i</v>
      </c>
      <c r="AH206" s="51">
        <f t="shared" si="179"/>
        <v>2.7212932988038929</v>
      </c>
      <c r="AI206" s="51">
        <f t="shared" si="180"/>
        <v>-1.1945065900454426</v>
      </c>
      <c r="AJ206" s="51" t="str">
        <f t="shared" si="161"/>
        <v>1+0.00843632174858935i</v>
      </c>
      <c r="AK206" s="51">
        <f t="shared" si="181"/>
        <v>1.0000355851291722</v>
      </c>
      <c r="AL206" s="51">
        <f t="shared" si="182"/>
        <v>8.4361216151751448E-3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-0.000170731707317073</v>
      </c>
      <c r="AT206" s="32" t="str">
        <f t="shared" si="164"/>
        <v>0.000181118772003613i</v>
      </c>
      <c r="AU206" s="32">
        <f t="shared" si="188"/>
        <v>1.81118772003613E-4</v>
      </c>
      <c r="AV206" s="32">
        <f t="shared" si="189"/>
        <v>1.5707963267948966</v>
      </c>
      <c r="AW206" s="32" t="str">
        <f t="shared" si="165"/>
        <v>1+0.0385617418731238i</v>
      </c>
      <c r="AX206" s="32">
        <f t="shared" si="190"/>
        <v>1.0007432277743824</v>
      </c>
      <c r="AY206" s="32">
        <f t="shared" si="191"/>
        <v>3.8542645036451564E-2</v>
      </c>
      <c r="AZ206" s="32" t="str">
        <f t="shared" si="166"/>
        <v>1+0.732673095589353i</v>
      </c>
      <c r="BA206" s="32">
        <f t="shared" si="192"/>
        <v>1.2396813562365474</v>
      </c>
      <c r="BB206" s="32">
        <f t="shared" si="193"/>
        <v>0.63231935445148557</v>
      </c>
      <c r="BC206" s="60" t="str">
        <f t="shared" si="194"/>
        <v>-0.653332927640823+0.967844190653954i</v>
      </c>
      <c r="BD206" s="51">
        <f t="shared" si="195"/>
        <v>1.3467625663728098</v>
      </c>
      <c r="BE206" s="63">
        <f t="shared" si="196"/>
        <v>124.02089942264733</v>
      </c>
      <c r="BF206" s="60" t="str">
        <f t="shared" si="197"/>
        <v>6.09097663686071+11.6801842499114i</v>
      </c>
      <c r="BG206" s="66">
        <f t="shared" si="198"/>
        <v>22.393663090335018</v>
      </c>
      <c r="BH206" s="63">
        <f t="shared" si="199"/>
        <v>62.458882498799959</v>
      </c>
      <c r="BI206" s="60" t="e">
        <f t="shared" si="203"/>
        <v>#NUM!</v>
      </c>
      <c r="BJ206" s="66" t="e">
        <f t="shared" si="200"/>
        <v>#NUM!</v>
      </c>
      <c r="BK206" s="63" t="e">
        <f t="shared" si="204"/>
        <v>#NUM!</v>
      </c>
      <c r="BL206" s="51">
        <f t="shared" si="201"/>
        <v>22.393663090335018</v>
      </c>
      <c r="BM206" s="63">
        <f t="shared" si="202"/>
        <v>62.458882498799959</v>
      </c>
    </row>
    <row r="207" spans="14:65" x14ac:dyDescent="0.3">
      <c r="N207" s="11">
        <v>89</v>
      </c>
      <c r="O207" s="52">
        <f t="shared" si="205"/>
        <v>776.24711662869231</v>
      </c>
      <c r="P207" s="50" t="str">
        <f t="shared" si="155"/>
        <v>23.3035714285714</v>
      </c>
      <c r="Q207" s="18" t="str">
        <f t="shared" si="156"/>
        <v>1+1.84989191270511i</v>
      </c>
      <c r="R207" s="18">
        <f t="shared" si="167"/>
        <v>2.1028790000120718</v>
      </c>
      <c r="S207" s="18">
        <f t="shared" si="168"/>
        <v>1.0752202118885568</v>
      </c>
      <c r="T207" s="18" t="str">
        <f t="shared" si="157"/>
        <v>1+0.0086328289259572i</v>
      </c>
      <c r="U207" s="18">
        <f t="shared" si="169"/>
        <v>1.0000372621733975</v>
      </c>
      <c r="V207" s="18">
        <f t="shared" si="170"/>
        <v>8.6326144795718096E-3</v>
      </c>
      <c r="W207" s="32" t="str">
        <f t="shared" si="158"/>
        <v>1-0.0119222998349691i</v>
      </c>
      <c r="X207" s="18">
        <f t="shared" si="171"/>
        <v>1.0000710680913407</v>
      </c>
      <c r="Y207" s="18">
        <f t="shared" si="172"/>
        <v>-1.1921734999672492E-2</v>
      </c>
      <c r="Z207" s="32" t="str">
        <f t="shared" si="159"/>
        <v>0.999997589761656+0.00585142411479887i</v>
      </c>
      <c r="AA207" s="18">
        <f t="shared" si="173"/>
        <v>1.0000147092384655</v>
      </c>
      <c r="AB207" s="18">
        <f t="shared" si="174"/>
        <v>5.8513714364250404E-3</v>
      </c>
      <c r="AC207" s="68" t="str">
        <f t="shared" si="175"/>
        <v>5.18095688696179-9.79723332826133i</v>
      </c>
      <c r="AD207" s="66">
        <f t="shared" si="176"/>
        <v>20.892977167589123</v>
      </c>
      <c r="AE207" s="63">
        <f t="shared" si="177"/>
        <v>-62.129291800158576</v>
      </c>
      <c r="AF207" s="51" t="e">
        <f t="shared" si="178"/>
        <v>#NUM!</v>
      </c>
      <c r="AG207" s="51" t="str">
        <f t="shared" si="160"/>
        <v>1-2.58984867778717i</v>
      </c>
      <c r="AH207" s="51">
        <f t="shared" si="179"/>
        <v>2.7762053551270212</v>
      </c>
      <c r="AI207" s="51">
        <f t="shared" si="180"/>
        <v>-1.2023098691315226</v>
      </c>
      <c r="AJ207" s="51" t="str">
        <f t="shared" si="161"/>
        <v>1+0.0086328289259572i</v>
      </c>
      <c r="AK207" s="51">
        <f t="shared" si="181"/>
        <v>1.0000372621733975</v>
      </c>
      <c r="AL207" s="51">
        <f t="shared" si="182"/>
        <v>8.6326144795718096E-3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-0.000170731707317073</v>
      </c>
      <c r="AT207" s="32" t="str">
        <f t="shared" si="164"/>
        <v>0.000185337570161793i</v>
      </c>
      <c r="AU207" s="32">
        <f t="shared" si="188"/>
        <v>1.8533757016179299E-4</v>
      </c>
      <c r="AV207" s="32">
        <f t="shared" si="189"/>
        <v>1.5707963267948966</v>
      </c>
      <c r="AW207" s="32" t="str">
        <f t="shared" si="165"/>
        <v>1+0.0394599602289069i</v>
      </c>
      <c r="AX207" s="32">
        <f t="shared" si="190"/>
        <v>1.0007782414007946</v>
      </c>
      <c r="AY207" s="32">
        <f t="shared" si="191"/>
        <v>3.943949845906105E-2</v>
      </c>
      <c r="AZ207" s="32" t="str">
        <f t="shared" si="166"/>
        <v>1+0.749739244349232i</v>
      </c>
      <c r="BA207" s="32">
        <f t="shared" si="192"/>
        <v>1.2498435640180565</v>
      </c>
      <c r="BB207" s="32">
        <f t="shared" si="193"/>
        <v>0.64333420428812194</v>
      </c>
      <c r="BC207" s="60" t="str">
        <f t="shared" si="194"/>
        <v>-0.653287212908152+0.946971876537715i</v>
      </c>
      <c r="BD207" s="51">
        <f t="shared" si="195"/>
        <v>1.2173704400511305</v>
      </c>
      <c r="BE207" s="63">
        <f t="shared" si="196"/>
        <v>124.6006179142996</v>
      </c>
      <c r="BF207" s="60" t="str">
        <f t="shared" si="197"/>
        <v>5.89305154486091+11.3066277207379i</v>
      </c>
      <c r="BG207" s="66">
        <f t="shared" si="198"/>
        <v>22.110347607640254</v>
      </c>
      <c r="BH207" s="63">
        <f t="shared" si="199"/>
        <v>62.471326114141021</v>
      </c>
      <c r="BI207" s="60" t="e">
        <f t="shared" si="203"/>
        <v>#NUM!</v>
      </c>
      <c r="BJ207" s="66" t="e">
        <f t="shared" si="200"/>
        <v>#NUM!</v>
      </c>
      <c r="BK207" s="63" t="e">
        <f t="shared" si="204"/>
        <v>#NUM!</v>
      </c>
      <c r="BL207" s="51">
        <f t="shared" si="201"/>
        <v>22.110347607640254</v>
      </c>
      <c r="BM207" s="63">
        <f t="shared" si="202"/>
        <v>62.471326114141021</v>
      </c>
    </row>
    <row r="208" spans="14:65" x14ac:dyDescent="0.3">
      <c r="N208" s="11">
        <v>90</v>
      </c>
      <c r="O208" s="52">
        <f t="shared" si="205"/>
        <v>794.32823472428208</v>
      </c>
      <c r="P208" s="50" t="str">
        <f t="shared" si="155"/>
        <v>23.3035714285714</v>
      </c>
      <c r="Q208" s="18" t="str">
        <f t="shared" si="156"/>
        <v>1+1.89298143074798i</v>
      </c>
      <c r="R208" s="18">
        <f t="shared" si="167"/>
        <v>2.1408826911245438</v>
      </c>
      <c r="S208" s="18">
        <f t="shared" si="168"/>
        <v>1.0847915159364514</v>
      </c>
      <c r="T208" s="18" t="str">
        <f t="shared" si="157"/>
        <v>1+0.0088339133434906i</v>
      </c>
      <c r="U208" s="18">
        <f t="shared" si="169"/>
        <v>1.0000390182512682</v>
      </c>
      <c r="V208" s="18">
        <f t="shared" si="170"/>
        <v>8.8336835605329223E-3</v>
      </c>
      <c r="W208" s="32" t="str">
        <f t="shared" si="158"/>
        <v>1-0.0122000058729939i</v>
      </c>
      <c r="X208" s="18">
        <f t="shared" si="171"/>
        <v>1.0000744173026832</v>
      </c>
      <c r="Y208" s="18">
        <f t="shared" si="172"/>
        <v>-1.2199400643501643E-2</v>
      </c>
      <c r="Z208" s="32" t="str">
        <f t="shared" si="159"/>
        <v>0.999997476170622+0.0059877212915363i</v>
      </c>
      <c r="AA208" s="18">
        <f t="shared" si="173"/>
        <v>1.0000154024583214</v>
      </c>
      <c r="AB208" s="18">
        <f t="shared" si="174"/>
        <v>5.9876648456883876E-3</v>
      </c>
      <c r="AC208" s="68" t="str">
        <f t="shared" si="175"/>
        <v>4.9946111230737-9.67269150349401i</v>
      </c>
      <c r="AD208" s="66">
        <f t="shared" si="176"/>
        <v>20.737443749563699</v>
      </c>
      <c r="AE208" s="63">
        <f t="shared" si="177"/>
        <v>-62.689884823443258</v>
      </c>
      <c r="AF208" s="51" t="e">
        <f t="shared" si="178"/>
        <v>#NUM!</v>
      </c>
      <c r="AG208" s="51" t="str">
        <f t="shared" si="160"/>
        <v>1-2.65017400304718i</v>
      </c>
      <c r="AH208" s="51">
        <f t="shared" si="179"/>
        <v>2.8325646058699374</v>
      </c>
      <c r="AI208" s="51">
        <f t="shared" si="180"/>
        <v>-1.2099812318947545</v>
      </c>
      <c r="AJ208" s="51" t="str">
        <f t="shared" si="161"/>
        <v>1+0.0088339133434906i</v>
      </c>
      <c r="AK208" s="51">
        <f t="shared" si="181"/>
        <v>1.0000390182512682</v>
      </c>
      <c r="AL208" s="51">
        <f t="shared" si="182"/>
        <v>8.8336835605329223E-3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-0.000170731707317073</v>
      </c>
      <c r="AT208" s="32" t="str">
        <f t="shared" si="164"/>
        <v>0.000189654636752905i</v>
      </c>
      <c r="AU208" s="32">
        <f t="shared" si="188"/>
        <v>1.89654636752905E-4</v>
      </c>
      <c r="AV208" s="32">
        <f t="shared" si="189"/>
        <v>1.5707963267948966</v>
      </c>
      <c r="AW208" s="32" t="str">
        <f t="shared" si="165"/>
        <v>1+0.0403791007779177i</v>
      </c>
      <c r="AX208" s="32">
        <f t="shared" si="190"/>
        <v>1.0008149038556695</v>
      </c>
      <c r="AY208" s="32">
        <f t="shared" si="191"/>
        <v>4.0357176560579869E-2</v>
      </c>
      <c r="AZ208" s="32" t="str">
        <f t="shared" si="166"/>
        <v>1+0.767202914780438i</v>
      </c>
      <c r="BA208" s="32">
        <f t="shared" si="192"/>
        <v>1.2603968868763522</v>
      </c>
      <c r="BB208" s="32">
        <f t="shared" si="193"/>
        <v>0.65442037196556979</v>
      </c>
      <c r="BC208" s="60" t="str">
        <f t="shared" si="194"/>
        <v>-0.653239350562828+0.926601489646329i</v>
      </c>
      <c r="BD208" s="51">
        <f t="shared" si="195"/>
        <v>1.0900855201908846</v>
      </c>
      <c r="BE208" s="63">
        <f t="shared" si="196"/>
        <v>125.18322945102311</v>
      </c>
      <c r="BF208" s="60" t="str">
        <f t="shared" si="197"/>
        <v>5.7000538296764+10.9465968227812i</v>
      </c>
      <c r="BG208" s="66">
        <f t="shared" si="198"/>
        <v>21.827529269754567</v>
      </c>
      <c r="BH208" s="63">
        <f t="shared" si="199"/>
        <v>62.493344627579795</v>
      </c>
      <c r="BI208" s="60" t="e">
        <f t="shared" si="203"/>
        <v>#NUM!</v>
      </c>
      <c r="BJ208" s="66" t="e">
        <f t="shared" si="200"/>
        <v>#NUM!</v>
      </c>
      <c r="BK208" s="63" t="e">
        <f t="shared" si="204"/>
        <v>#NUM!</v>
      </c>
      <c r="BL208" s="51">
        <f t="shared" si="201"/>
        <v>21.827529269754567</v>
      </c>
      <c r="BM208" s="63">
        <f t="shared" si="202"/>
        <v>62.493344627579795</v>
      </c>
    </row>
    <row r="209" spans="14:65" x14ac:dyDescent="0.3">
      <c r="N209" s="11">
        <v>91</v>
      </c>
      <c r="O209" s="52">
        <f t="shared" si="205"/>
        <v>812.83051616409978</v>
      </c>
      <c r="P209" s="50" t="str">
        <f t="shared" si="155"/>
        <v>23.3035714285714</v>
      </c>
      <c r="Q209" s="18" t="str">
        <f t="shared" si="156"/>
        <v>1+1.93707463260201i</v>
      </c>
      <c r="R209" s="18">
        <f t="shared" si="167"/>
        <v>2.1799674612870281</v>
      </c>
      <c r="S209" s="18">
        <f t="shared" si="168"/>
        <v>1.0942394143589718</v>
      </c>
      <c r="T209" s="18" t="str">
        <f t="shared" si="157"/>
        <v>1+0.00903968161880937i</v>
      </c>
      <c r="U209" s="18">
        <f t="shared" si="169"/>
        <v>1.0000408570872339</v>
      </c>
      <c r="V209" s="18">
        <f t="shared" si="170"/>
        <v>9.0394354024774942E-3</v>
      </c>
      <c r="W209" s="32" t="str">
        <f t="shared" si="158"/>
        <v>1-0.0124841805156187i</v>
      </c>
      <c r="X209" s="18">
        <f t="shared" si="171"/>
        <v>1.0000779243454716</v>
      </c>
      <c r="Y209" s="18">
        <f t="shared" si="172"/>
        <v>-1.248353200326275E-2</v>
      </c>
      <c r="Z209" s="32" t="str">
        <f t="shared" si="159"/>
        <v>0.999997357226208+0.00612719323735936i</v>
      </c>
      <c r="AA209" s="18">
        <f t="shared" si="173"/>
        <v>1.0000161283481224</v>
      </c>
      <c r="AB209" s="18">
        <f t="shared" si="174"/>
        <v>6.1271327545959183E-3</v>
      </c>
      <c r="AC209" s="68" t="str">
        <f t="shared" si="175"/>
        <v>4.81303944645983-9.54627993508704i</v>
      </c>
      <c r="AD209" s="66">
        <f t="shared" si="176"/>
        <v>20.580341068831562</v>
      </c>
      <c r="AE209" s="63">
        <f t="shared" si="177"/>
        <v>-63.243691266451094</v>
      </c>
      <c r="AF209" s="51" t="e">
        <f t="shared" si="178"/>
        <v>#NUM!</v>
      </c>
      <c r="AG209" s="51" t="str">
        <f t="shared" si="160"/>
        <v>1-2.71190448564282i</v>
      </c>
      <c r="AH209" s="51">
        <f t="shared" si="179"/>
        <v>2.8904023836223298</v>
      </c>
      <c r="AI209" s="51">
        <f t="shared" si="180"/>
        <v>-1.2175211331159583</v>
      </c>
      <c r="AJ209" s="51" t="str">
        <f t="shared" si="161"/>
        <v>1+0.00903968161880937i</v>
      </c>
      <c r="AK209" s="51">
        <f t="shared" si="181"/>
        <v>1.0000408570872339</v>
      </c>
      <c r="AL209" s="51">
        <f t="shared" si="182"/>
        <v>9.0394354024774942E-3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-0.000170731707317073</v>
      </c>
      <c r="AT209" s="32" t="str">
        <f t="shared" si="164"/>
        <v>0.0001940722607428i</v>
      </c>
      <c r="AU209" s="32">
        <f t="shared" si="188"/>
        <v>1.9407226074280001E-4</v>
      </c>
      <c r="AV209" s="32">
        <f t="shared" si="189"/>
        <v>1.5707963267948966</v>
      </c>
      <c r="AW209" s="32" t="str">
        <f t="shared" si="165"/>
        <v>1+0.0413196508606415i</v>
      </c>
      <c r="AX209" s="32">
        <f t="shared" si="190"/>
        <v>1.0008532927193903</v>
      </c>
      <c r="AY209" s="32">
        <f t="shared" si="191"/>
        <v>4.1296159720101734E-2</v>
      </c>
      <c r="AZ209" s="32" t="str">
        <f t="shared" si="166"/>
        <v>1+0.78507336635219i</v>
      </c>
      <c r="BA209" s="32">
        <f t="shared" si="192"/>
        <v>1.271353684289136</v>
      </c>
      <c r="BB209" s="32">
        <f t="shared" si="193"/>
        <v>0.66557283575810666</v>
      </c>
      <c r="BC209" s="60" t="str">
        <f t="shared" si="194"/>
        <v>-0.653189240050811+0.906722217227152i</v>
      </c>
      <c r="BD209" s="51">
        <f t="shared" si="195"/>
        <v>0.96493363900917672</v>
      </c>
      <c r="BE209" s="63">
        <f t="shared" si="196"/>
        <v>125.76841878543347</v>
      </c>
      <c r="BF209" s="60" t="str">
        <f t="shared" si="197"/>
        <v>5.51199853064552+10.5996171346076i</v>
      </c>
      <c r="BG209" s="66">
        <f t="shared" si="198"/>
        <v>21.545274707840733</v>
      </c>
      <c r="BH209" s="63">
        <f t="shared" si="199"/>
        <v>62.524727518982374</v>
      </c>
      <c r="BI209" s="60" t="e">
        <f t="shared" si="203"/>
        <v>#NUM!</v>
      </c>
      <c r="BJ209" s="66" t="e">
        <f t="shared" si="200"/>
        <v>#NUM!</v>
      </c>
      <c r="BK209" s="63" t="e">
        <f t="shared" si="204"/>
        <v>#NUM!</v>
      </c>
      <c r="BL209" s="51">
        <f t="shared" si="201"/>
        <v>21.545274707840733</v>
      </c>
      <c r="BM209" s="63">
        <f t="shared" si="202"/>
        <v>62.524727518982374</v>
      </c>
    </row>
    <row r="210" spans="14:65" x14ac:dyDescent="0.3">
      <c r="N210" s="11">
        <v>92</v>
      </c>
      <c r="O210" s="52">
        <f t="shared" si="205"/>
        <v>831.7637711026714</v>
      </c>
      <c r="P210" s="50" t="str">
        <f t="shared" si="155"/>
        <v>23.3035714285714</v>
      </c>
      <c r="Q210" s="18" t="str">
        <f t="shared" si="156"/>
        <v>1+1.98219489706645i</v>
      </c>
      <c r="R210" s="18">
        <f t="shared" si="167"/>
        <v>2.2201568885905956</v>
      </c>
      <c r="S210" s="18">
        <f t="shared" si="168"/>
        <v>1.1035621689275599</v>
      </c>
      <c r="T210" s="18" t="str">
        <f t="shared" si="157"/>
        <v>1+0.00925024285297677i</v>
      </c>
      <c r="U210" s="18">
        <f t="shared" si="169"/>
        <v>1.0000427825812448</v>
      </c>
      <c r="V210" s="18">
        <f t="shared" si="170"/>
        <v>9.249979028033475E-3</v>
      </c>
      <c r="W210" s="32" t="str">
        <f t="shared" si="158"/>
        <v>1-0.0127749744360006i</v>
      </c>
      <c r="X210" s="18">
        <f t="shared" si="171"/>
        <v>1.000081596656913</v>
      </c>
      <c r="Y210" s="18">
        <f t="shared" si="172"/>
        <v>-1.2774279545553586E-2</v>
      </c>
      <c r="Z210" s="32" t="str">
        <f t="shared" si="159"/>
        <v>0.999997232676116+0.00626991390213986i</v>
      </c>
      <c r="AA210" s="18">
        <f t="shared" si="173"/>
        <v>1.0000168884475054</v>
      </c>
      <c r="AB210" s="18">
        <f t="shared" si="174"/>
        <v>6.2698490937498821E-3</v>
      </c>
      <c r="AC210" s="68" t="str">
        <f t="shared" si="175"/>
        <v>4.63624584133024-9.41820239786136i</v>
      </c>
      <c r="AD210" s="66">
        <f t="shared" si="176"/>
        <v>20.421710007079959</v>
      </c>
      <c r="AE210" s="63">
        <f t="shared" si="177"/>
        <v>-63.790618146497891</v>
      </c>
      <c r="AF210" s="51" t="e">
        <f t="shared" si="178"/>
        <v>#NUM!</v>
      </c>
      <c r="AG210" s="51" t="str">
        <f t="shared" si="160"/>
        <v>1-2.77507285589304i</v>
      </c>
      <c r="AH210" s="51">
        <f t="shared" si="179"/>
        <v>2.9497507276911308</v>
      </c>
      <c r="AI210" s="51">
        <f t="shared" si="180"/>
        <v>-1.2249301404021073</v>
      </c>
      <c r="AJ210" s="51" t="str">
        <f t="shared" si="161"/>
        <v>1+0.00925024285297677i</v>
      </c>
      <c r="AK210" s="51">
        <f t="shared" si="181"/>
        <v>1.0000427825812448</v>
      </c>
      <c r="AL210" s="51">
        <f t="shared" si="182"/>
        <v>9.249979028033475E-3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-0.000170731707317073</v>
      </c>
      <c r="AT210" s="32" t="str">
        <f t="shared" si="164"/>
        <v>0.00019859278441419i</v>
      </c>
      <c r="AU210" s="32">
        <f t="shared" si="188"/>
        <v>1.9859278441419E-4</v>
      </c>
      <c r="AV210" s="32">
        <f t="shared" si="189"/>
        <v>1.5707963267948966</v>
      </c>
      <c r="AW210" s="32" t="str">
        <f t="shared" si="165"/>
        <v>1+0.0422821091691819i</v>
      </c>
      <c r="AX210" s="32">
        <f t="shared" si="190"/>
        <v>1.0008934892164074</v>
      </c>
      <c r="AY210" s="32">
        <f t="shared" si="191"/>
        <v>4.2256939172019219E-2</v>
      </c>
      <c r="AZ210" s="32" t="str">
        <f t="shared" si="166"/>
        <v>1+0.803360074214457i</v>
      </c>
      <c r="BA210" s="32">
        <f t="shared" si="192"/>
        <v>1.2827265526377232</v>
      </c>
      <c r="BB210" s="32">
        <f t="shared" si="193"/>
        <v>0.67678641245702797</v>
      </c>
      <c r="BC210" s="60" t="str">
        <f t="shared" si="194"/>
        <v>-0.653136776142524+0.887323506062158i</v>
      </c>
      <c r="BD210" s="51">
        <f t="shared" si="195"/>
        <v>0.84193877856402599</v>
      </c>
      <c r="BE210" s="63">
        <f t="shared" si="196"/>
        <v>126.35586079589014</v>
      </c>
      <c r="BF210" s="60" t="str">
        <f t="shared" si="197"/>
        <v>5.32888971026275+10.2652242660922i</v>
      </c>
      <c r="BG210" s="66">
        <f t="shared" si="198"/>
        <v>21.263648785643984</v>
      </c>
      <c r="BH210" s="63">
        <f t="shared" si="199"/>
        <v>62.565242649392239</v>
      </c>
      <c r="BI210" s="60" t="e">
        <f t="shared" si="203"/>
        <v>#NUM!</v>
      </c>
      <c r="BJ210" s="66" t="e">
        <f t="shared" si="200"/>
        <v>#NUM!</v>
      </c>
      <c r="BK210" s="63" t="e">
        <f t="shared" si="204"/>
        <v>#NUM!</v>
      </c>
      <c r="BL210" s="51">
        <f t="shared" si="201"/>
        <v>21.263648785643984</v>
      </c>
      <c r="BM210" s="63">
        <f t="shared" si="202"/>
        <v>62.565242649392239</v>
      </c>
    </row>
    <row r="211" spans="14:65" x14ac:dyDescent="0.3">
      <c r="N211" s="11">
        <v>93</v>
      </c>
      <c r="O211" s="52">
        <f t="shared" si="205"/>
        <v>851.13803820237763</v>
      </c>
      <c r="P211" s="50" t="str">
        <f t="shared" ref="P211:P274" si="206">COMPLEX(Adc,0)</f>
        <v>23.3035714285714</v>
      </c>
      <c r="Q211" s="18" t="str">
        <f t="shared" ref="Q211:Q274" si="207">IMSUM(COMPLEX(1,0),IMDIV(COMPLEX(0,2*PI()*O211),COMPLEX(wp_lf,0)))</f>
        <v>1+2.02836614750277i</v>
      </c>
      <c r="R211" s="18">
        <f t="shared" si="167"/>
        <v>2.2614750116539488</v>
      </c>
      <c r="S211" s="18">
        <f t="shared" si="168"/>
        <v>1.1127582395795625</v>
      </c>
      <c r="T211" s="18" t="str">
        <f t="shared" ref="T211:T274" si="208">IMSUM(COMPLEX(1,0),IMDIV(COMPLEX(0,2*PI()*O211),COMPLEX(wz_esr,0)))</f>
        <v>1+0.00946570868834627i</v>
      </c>
      <c r="U211" s="18">
        <f t="shared" si="169"/>
        <v>1.0000447988170194</v>
      </c>
      <c r="V211" s="18">
        <f t="shared" si="170"/>
        <v>9.4654259955102779E-3</v>
      </c>
      <c r="W211" s="32" t="str">
        <f t="shared" ref="W211:W274" si="209">IMSUB(COMPLEX(1,0),IMDIV(COMPLEX(0,2*PI()*O211),COMPLEX(wz_rhp,0)))</f>
        <v>1-0.0130725418169252i</v>
      </c>
      <c r="X211" s="18">
        <f t="shared" si="171"/>
        <v>1.0000854420246079</v>
      </c>
      <c r="Y211" s="18">
        <f t="shared" si="172"/>
        <v>-1.3071797231831862E-2</v>
      </c>
      <c r="Z211" s="32" t="str">
        <f t="shared" ref="Z211:Z274" si="210">IMSUM(COMPLEX(1,0),IMDIV(COMPLEX(0,2*PI()*O211),COMPLEX(Q*(wsl/2),0)),IMDIV(IMPOWER(COMPLEX(0,2*PI()*O211),2),IMPOWER(COMPLEX(wsl/2,0),2)))</f>
        <v>0.99999710225616+0.0064159589582634i</v>
      </c>
      <c r="AA211" s="18">
        <f t="shared" si="173"/>
        <v>1.000017684368667</v>
      </c>
      <c r="AB211" s="18">
        <f t="shared" si="174"/>
        <v>6.415889514888232E-3</v>
      </c>
      <c r="AC211" s="68" t="str">
        <f t="shared" si="175"/>
        <v>4.46422422360352-9.28865813746262i</v>
      </c>
      <c r="AD211" s="66">
        <f t="shared" si="176"/>
        <v>20.261591440655348</v>
      </c>
      <c r="AE211" s="63">
        <f t="shared" si="177"/>
        <v>-64.330583988540155</v>
      </c>
      <c r="AF211" s="51" t="e">
        <f t="shared" si="178"/>
        <v>#NUM!</v>
      </c>
      <c r="AG211" s="51" t="str">
        <f t="shared" ref="AG211:AG274" si="211">IMSUM(COMPLEX(1,0),IMDIV(COMPLEX(0,2*PI()*O211),COMPLEX(wp_lf_DCM,0)))</f>
        <v>1-2.83971260650389i</v>
      </c>
      <c r="AH211" s="51">
        <f t="shared" si="179"/>
        <v>3.0106424044607345</v>
      </c>
      <c r="AI211" s="51">
        <f t="shared" si="180"/>
        <v>-1.2322089274871368</v>
      </c>
      <c r="AJ211" s="51" t="str">
        <f t="shared" ref="AJ211:AJ274" si="212">IMSUM(COMPLEX(1,0),IMDIV(COMPLEX(0,2*PI()*O211),COMPLEX(wz1_dcm,0)))</f>
        <v>1+0.00946570868834627i</v>
      </c>
      <c r="AK211" s="51">
        <f t="shared" si="181"/>
        <v>1.0000447988170194</v>
      </c>
      <c r="AL211" s="51">
        <f t="shared" si="182"/>
        <v>9.4654259955102779E-3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-0.000170731707317073</v>
      </c>
      <c r="AT211" s="32" t="str">
        <f t="shared" ref="AT211:AT274" si="215">COMPLEX(0,2*PI()*O211*wp0_ea)</f>
        <v>0.000203218604608564i</v>
      </c>
      <c r="AU211" s="32">
        <f t="shared" si="188"/>
        <v>2.03218604608564E-4</v>
      </c>
      <c r="AV211" s="32">
        <f t="shared" si="189"/>
        <v>1.5707963267948966</v>
      </c>
      <c r="AW211" s="32" t="str">
        <f t="shared" ref="AW211:AW274" si="216">IMSUM(COMPLEX(1,0),IMDIV(COMPLEX(0,2*PI()*O211),COMPLEX(wp1_ea,0)))</f>
        <v>1+0.0432669860116737i</v>
      </c>
      <c r="AX211" s="32">
        <f t="shared" si="190"/>
        <v>1.0009355783858092</v>
      </c>
      <c r="AY211" s="32">
        <f t="shared" si="191"/>
        <v>4.3240017235129491E-2</v>
      </c>
      <c r="AZ211" s="32" t="str">
        <f t="shared" ref="AZ211:AZ274" si="217">IMSUM(COMPLEX(1,0),IMDIV(COMPLEX(0,2*PI()*O211),COMPLEX(wz_ea,0)))</f>
        <v>1+0.822072734221802i</v>
      </c>
      <c r="BA211" s="32">
        <f t="shared" si="192"/>
        <v>1.2945283235027767</v>
      </c>
      <c r="BB211" s="32">
        <f t="shared" si="193"/>
        <v>0.68805576791517609</v>
      </c>
      <c r="BC211" s="60" t="str">
        <f t="shared" si="194"/>
        <v>-0.653081848718555+0.868395056811475i</v>
      </c>
      <c r="BD211" s="51">
        <f t="shared" si="195"/>
        <v>0.72112297437437411</v>
      </c>
      <c r="BE211" s="63">
        <f t="shared" si="196"/>
        <v>126.94522107752665</v>
      </c>
      <c r="BF211" s="60" t="str">
        <f t="shared" si="197"/>
        <v>5.15072100193908+9.94296427680408i</v>
      </c>
      <c r="BG211" s="66">
        <f t="shared" si="198"/>
        <v>20.982714415029726</v>
      </c>
      <c r="BH211" s="63">
        <f t="shared" si="199"/>
        <v>62.614637088986498</v>
      </c>
      <c r="BI211" s="60" t="e">
        <f t="shared" si="203"/>
        <v>#NUM!</v>
      </c>
      <c r="BJ211" s="66" t="e">
        <f t="shared" si="200"/>
        <v>#NUM!</v>
      </c>
      <c r="BK211" s="63" t="e">
        <f t="shared" si="204"/>
        <v>#NUM!</v>
      </c>
      <c r="BL211" s="51">
        <f t="shared" si="201"/>
        <v>20.982714415029726</v>
      </c>
      <c r="BM211" s="63">
        <f t="shared" si="202"/>
        <v>62.614637088986498</v>
      </c>
    </row>
    <row r="212" spans="14:65" x14ac:dyDescent="0.3">
      <c r="N212" s="11">
        <v>94</v>
      </c>
      <c r="O212" s="52">
        <f t="shared" si="205"/>
        <v>870.96358995608091</v>
      </c>
      <c r="P212" s="50" t="str">
        <f t="shared" si="206"/>
        <v>23.3035714285714</v>
      </c>
      <c r="Q212" s="18" t="str">
        <f t="shared" si="207"/>
        <v>1+2.07561286451909i</v>
      </c>
      <c r="R212" s="18">
        <f t="shared" ref="R212:R275" si="218">IMABS(Q212)</f>
        <v>2.3039463455899192</v>
      </c>
      <c r="S212" s="18">
        <f t="shared" ref="S212:S275" si="219">IMARGUMENT(Q212)</f>
        <v>1.121826279725481</v>
      </c>
      <c r="T212" s="18" t="str">
        <f t="shared" si="208"/>
        <v>1+0.00968619336775577i</v>
      </c>
      <c r="U212" s="18">
        <f t="shared" ref="U212:U275" si="220">IMABS(T212)</f>
        <v>1.0000469100707015</v>
      </c>
      <c r="V212" s="18">
        <f t="shared" ref="V212:V275" si="221">IMARGUMENT(T212)</f>
        <v>9.6858904576919529E-3</v>
      </c>
      <c r="W212" s="32" t="str">
        <f t="shared" si="209"/>
        <v>1-0.0133770404325566i</v>
      </c>
      <c r="X212" s="18">
        <f t="shared" ref="X212:X275" si="222">IMABS(W212)</f>
        <v>1.0000894686030517</v>
      </c>
      <c r="Y212" s="18">
        <f t="shared" ref="Y212:Y275" si="223">IMARGUMENT(W212)</f>
        <v>-1.3376242599109531E-2</v>
      </c>
      <c r="Z212" s="32" t="str">
        <f t="shared" si="210"/>
        <v>0.9999969656897+0.00656540584075185i</v>
      </c>
      <c r="AA212" s="18">
        <f t="shared" ref="AA212:AA275" si="224">IMABS(Z212)</f>
        <v>1.0000185177997758</v>
      </c>
      <c r="AB212" s="18">
        <f t="shared" ref="AB212:AB275" si="225">IMARGUMENT(Z212)</f>
        <v>6.5653314309086115E-3</v>
      </c>
      <c r="AC212" s="68" t="str">
        <f t="shared" ref="AC212:AC275" si="226">(IMDIV(IMPRODUCT(P212,T212,W212),IMPRODUCT(Q212,Z212)))</f>
        <v>4.29695899088324-9.15784139299483i</v>
      </c>
      <c r="AD212" s="66">
        <f t="shared" ref="AD212:AD275" si="227">20*LOG(IMABS(AC212))</f>
        <v>20.100026157101727</v>
      </c>
      <c r="AE212" s="63">
        <f t="shared" ref="AE212:AE275" si="228">(180/PI())*IMARGUMENT(AC212)</f>
        <v>-64.863518559848515</v>
      </c>
      <c r="AF212" s="51" t="e">
        <f t="shared" ref="AF212:AF275" si="229">COMPLEX($B$68,0)</f>
        <v>#NUM!</v>
      </c>
      <c r="AG212" s="51" t="str">
        <f t="shared" si="211"/>
        <v>1-2.90585801032674i</v>
      </c>
      <c r="AH212" s="51">
        <f t="shared" ref="AH212:AH275" si="230">IMABS(AG212)</f>
        <v>3.0731109280629751</v>
      </c>
      <c r="AI212" s="51">
        <f t="shared" ref="AI212:AI275" si="231">IMARGUMENT(AG212)</f>
        <v>-1.2393582676413959</v>
      </c>
      <c r="AJ212" s="51" t="str">
        <f t="shared" si="212"/>
        <v>1+0.00968619336775577i</v>
      </c>
      <c r="AK212" s="51">
        <f t="shared" ref="AK212:AK275" si="232">IMABS(AJ212)</f>
        <v>1.0000469100707015</v>
      </c>
      <c r="AL212" s="51">
        <f t="shared" ref="AL212:AL275" si="233">IMARGUMENT(AJ212)</f>
        <v>9.6858904576919529E-3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-0.000170731707317073</v>
      </c>
      <c r="AT212" s="32" t="str">
        <f t="shared" si="215"/>
        <v>0.000207952173997016i</v>
      </c>
      <c r="AU212" s="32">
        <f t="shared" ref="AU212:AU275" si="239">IMABS(AT212)</f>
        <v>2.07952173997016E-4</v>
      </c>
      <c r="AV212" s="32">
        <f t="shared" ref="AV212:AV275" si="240">IMARGUMENT(AT212)</f>
        <v>1.5707963267948966</v>
      </c>
      <c r="AW212" s="32" t="str">
        <f t="shared" si="216"/>
        <v>1+0.044274803582855i</v>
      </c>
      <c r="AX212" s="32">
        <f t="shared" ref="AX212:AX275" si="241">IMABS(AW212)</f>
        <v>1.000979649259814</v>
      </c>
      <c r="AY212" s="32">
        <f t="shared" ref="AY212:AY275" si="242">IMARGUMENT(AW212)</f>
        <v>4.4245907545396965E-2</v>
      </c>
      <c r="AZ212" s="32" t="str">
        <f t="shared" si="217"/>
        <v>1+0.841221268074247i</v>
      </c>
      <c r="BA212" s="32">
        <f t="shared" ref="BA212:BA275" si="243">IMABS(AZ212)</f>
        <v>1.3067720619375225</v>
      </c>
      <c r="BB212" s="32">
        <f t="shared" ref="BB212:BB275" si="244">IMARGUMENT(AZ212)</f>
        <v>0.69937542846959377</v>
      </c>
      <c r="BC212" s="60" t="str">
        <f t="shared" ref="BC212:BC275" si="245">IMPRODUCT(AS212,IMDIV(AZ212,IMPRODUCT(AT212,AW212)))</f>
        <v>-0.653024342545898+0.849926818487326i</v>
      </c>
      <c r="BD212" s="51">
        <f t="shared" ref="BD212:BD275" si="246">20*LOG(IMABS(BC212))</f>
        <v>0.60250622484250249</v>
      </c>
      <c r="BE212" s="63">
        <f t="shared" ref="BE212:BE275" si="247">(180/PI())*IMARGUMENT(BC212)</f>
        <v>127.53615658338408</v>
      </c>
      <c r="BF212" s="60" t="str">
        <f t="shared" ref="BF212:BF275" si="248">IMPRODUCT(AC212,BC212)</f>
        <v>4.97747617939142+9.63239403909196i</v>
      </c>
      <c r="BG212" s="66">
        <f t="shared" ref="BG212:BG275" si="249">20*LOG(IMABS(BF212))</f>
        <v>20.702532381944231</v>
      </c>
      <c r="BH212" s="63">
        <f t="shared" ref="BH212:BH275" si="250">(180/PI())*IMARGUMENT(BF212)</f>
        <v>62.67263802353559</v>
      </c>
      <c r="BI212" s="60" t="e">
        <f t="shared" si="203"/>
        <v>#NUM!</v>
      </c>
      <c r="BJ212" s="66" t="e">
        <f t="shared" ref="BJ212:BJ275" si="251">20*LOG(IMABS(BI212))</f>
        <v>#NUM!</v>
      </c>
      <c r="BK212" s="63" t="e">
        <f t="shared" si="204"/>
        <v>#NUM!</v>
      </c>
      <c r="BL212" s="51">
        <f t="shared" ref="BL212:BL275" si="252">IF($B$31=0,BJ212,BG212)</f>
        <v>20.702532381944231</v>
      </c>
      <c r="BM212" s="63">
        <f t="shared" ref="BM212:BM275" si="253">IF($B$31=0,BK212,BH212)</f>
        <v>62.67263802353559</v>
      </c>
    </row>
    <row r="213" spans="14:65" x14ac:dyDescent="0.3">
      <c r="N213" s="11">
        <v>95</v>
      </c>
      <c r="O213" s="52">
        <f t="shared" si="205"/>
        <v>891.25093813374656</v>
      </c>
      <c r="P213" s="50" t="str">
        <f t="shared" si="206"/>
        <v>23.3035714285714</v>
      </c>
      <c r="Q213" s="18" t="str">
        <f t="shared" si="207"/>
        <v>1+2.12396009895017i</v>
      </c>
      <c r="R213" s="18">
        <f t="shared" si="218"/>
        <v>2.3475958983463099</v>
      </c>
      <c r="S213" s="18">
        <f t="shared" si="219"/>
        <v>1.1307651311143863</v>
      </c>
      <c r="T213" s="18" t="str">
        <f t="shared" si="208"/>
        <v>1+0.00991181379510081i</v>
      </c>
      <c r="U213" s="18">
        <f t="shared" si="220"/>
        <v>1.0000491208199269</v>
      </c>
      <c r="V213" s="18">
        <f t="shared" si="221"/>
        <v>9.9114892219807141E-3</v>
      </c>
      <c r="W213" s="32" t="str">
        <f t="shared" si="209"/>
        <v>1-0.0136886317320915i</v>
      </c>
      <c r="X213" s="18">
        <f t="shared" si="222"/>
        <v>1.0000936849309152</v>
      </c>
      <c r="Y213" s="18">
        <f t="shared" si="223"/>
        <v>-1.3687776842475746E-2</v>
      </c>
      <c r="Z213" s="32" t="str">
        <f t="shared" si="210"/>
        <v>0.999996822687061+0.00671833378832051i</v>
      </c>
      <c r="AA213" s="18">
        <f t="shared" si="224"/>
        <v>1.0000193905085584</v>
      </c>
      <c r="AB213" s="18">
        <f t="shared" si="225"/>
        <v>6.718254056819869E-3</v>
      </c>
      <c r="AC213" s="68" t="str">
        <f t="shared" si="226"/>
        <v>4.13442558779275-9.02594097549295i</v>
      </c>
      <c r="AD213" s="66">
        <f t="shared" si="227"/>
        <v>19.937054776474085</v>
      </c>
      <c r="AE213" s="63">
        <f t="shared" si="228"/>
        <v>-65.389362579445859</v>
      </c>
      <c r="AF213" s="51" t="e">
        <f t="shared" si="229"/>
        <v>#NUM!</v>
      </c>
      <c r="AG213" s="51" t="str">
        <f t="shared" si="211"/>
        <v>1-2.97354413853025i</v>
      </c>
      <c r="AH213" s="51">
        <f t="shared" si="230"/>
        <v>3.137190581362185</v>
      </c>
      <c r="AI213" s="51">
        <f t="shared" si="231"/>
        <v>-1.2463790272102904</v>
      </c>
      <c r="AJ213" s="51" t="str">
        <f t="shared" si="212"/>
        <v>1+0.00991181379510081i</v>
      </c>
      <c r="AK213" s="51">
        <f t="shared" si="232"/>
        <v>1.0000491208199269</v>
      </c>
      <c r="AL213" s="51">
        <f t="shared" si="233"/>
        <v>9.9114892219807141E-3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-0.000170731707317073</v>
      </c>
      <c r="AT213" s="32" t="str">
        <f t="shared" si="215"/>
        <v>0.000212796002380695i</v>
      </c>
      <c r="AU213" s="32">
        <f t="shared" si="239"/>
        <v>2.1279600238069499E-4</v>
      </c>
      <c r="AV213" s="32">
        <f t="shared" si="240"/>
        <v>1.5707963267948966</v>
      </c>
      <c r="AW213" s="32" t="str">
        <f t="shared" si="216"/>
        <v>1+0.0453060962409424i</v>
      </c>
      <c r="AX213" s="32">
        <f t="shared" si="241"/>
        <v>1.0010257950505539</v>
      </c>
      <c r="AY213" s="32">
        <f t="shared" si="242"/>
        <v>4.5275135292340708E-2</v>
      </c>
      <c r="AZ213" s="32" t="str">
        <f t="shared" si="217"/>
        <v>1+0.860815828577908i</v>
      </c>
      <c r="BA213" s="32">
        <f t="shared" si="243"/>
        <v>1.3194710647567343</v>
      </c>
      <c r="BB213" s="32">
        <f t="shared" si="244"/>
        <v>0.71073979319156055</v>
      </c>
      <c r="BC213" s="60" t="str">
        <f t="shared" si="245"/>
        <v>-0.652964137044231+0.831908983054961i</v>
      </c>
      <c r="BD213" s="51">
        <f t="shared" si="246"/>
        <v>0.48610640719079079</v>
      </c>
      <c r="BE213" s="63">
        <f t="shared" si="247"/>
        <v>128.12831631274244</v>
      </c>
      <c r="BF213" s="60" t="str">
        <f t="shared" si="248"/>
        <v>4.80912974192976+9.33308154633199i</v>
      </c>
      <c r="BG213" s="66">
        <f t="shared" si="249"/>
        <v>20.423161183664874</v>
      </c>
      <c r="BH213" s="63">
        <f t="shared" si="250"/>
        <v>62.73895373329659</v>
      </c>
      <c r="BI213" s="60" t="e">
        <f t="shared" si="203"/>
        <v>#NUM!</v>
      </c>
      <c r="BJ213" s="66" t="e">
        <f t="shared" si="251"/>
        <v>#NUM!</v>
      </c>
      <c r="BK213" s="63" t="e">
        <f t="shared" si="204"/>
        <v>#NUM!</v>
      </c>
      <c r="BL213" s="51">
        <f t="shared" si="252"/>
        <v>20.423161183664874</v>
      </c>
      <c r="BM213" s="63">
        <f t="shared" si="253"/>
        <v>62.73895373329659</v>
      </c>
    </row>
    <row r="214" spans="14:65" x14ac:dyDescent="0.3">
      <c r="N214" s="11">
        <v>96</v>
      </c>
      <c r="O214" s="52">
        <f t="shared" si="205"/>
        <v>912.01083935590987</v>
      </c>
      <c r="P214" s="50" t="str">
        <f t="shared" si="206"/>
        <v>23.3035714285714</v>
      </c>
      <c r="Q214" s="18" t="str">
        <f t="shared" si="207"/>
        <v>1+2.17343348513964i</v>
      </c>
      <c r="R214" s="18">
        <f t="shared" si="218"/>
        <v>2.3924491874073821</v>
      </c>
      <c r="S214" s="18">
        <f t="shared" si="219"/>
        <v>1.1395738183119031</v>
      </c>
      <c r="T214" s="18" t="str">
        <f t="shared" si="208"/>
        <v>1+0.0101426895973183i</v>
      </c>
      <c r="U214" s="18">
        <f t="shared" si="220"/>
        <v>1.0000514357533155</v>
      </c>
      <c r="V214" s="18">
        <f t="shared" si="221"/>
        <v>1.0142341811920245E-2</v>
      </c>
      <c r="W214" s="32" t="str">
        <f t="shared" si="209"/>
        <v>1-0.0140074809253612i</v>
      </c>
      <c r="X214" s="18">
        <f t="shared" si="222"/>
        <v>1.0000980999491371</v>
      </c>
      <c r="Y214" s="18">
        <f t="shared" si="223"/>
        <v>-1.4006564899486904E-2</v>
      </c>
      <c r="Z214" s="32" t="str">
        <f t="shared" si="210"/>
        <v>0.999996672944916+0.00687482388539138i</v>
      </c>
      <c r="AA214" s="18">
        <f t="shared" si="224"/>
        <v>1.0000203043460452</v>
      </c>
      <c r="AB214" s="18">
        <f t="shared" si="225"/>
        <v>6.8747384516422054E-3</v>
      </c>
      <c r="AC214" s="68" t="str">
        <f t="shared" si="226"/>
        <v>3.97659108144178-8.89313990122147i</v>
      </c>
      <c r="AD214" s="66">
        <f t="shared" si="227"/>
        <v>19.772717677536015</v>
      </c>
      <c r="AE214" s="63">
        <f t="shared" si="228"/>
        <v>-65.908067405430032</v>
      </c>
      <c r="AF214" s="51" t="e">
        <f t="shared" si="229"/>
        <v>#NUM!</v>
      </c>
      <c r="AG214" s="51" t="str">
        <f t="shared" si="211"/>
        <v>1-3.04280687919551i</v>
      </c>
      <c r="AH214" s="51">
        <f t="shared" si="230"/>
        <v>3.2029164372614405</v>
      </c>
      <c r="AI214" s="51">
        <f t="shared" si="231"/>
        <v>-1.253272159300004</v>
      </c>
      <c r="AJ214" s="51" t="str">
        <f t="shared" si="212"/>
        <v>1+0.0101426895973183i</v>
      </c>
      <c r="AK214" s="51">
        <f t="shared" si="232"/>
        <v>1.0000514357533155</v>
      </c>
      <c r="AL214" s="51">
        <f t="shared" si="233"/>
        <v>1.0142341811920245E-2</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-0.000170731707317073</v>
      </c>
      <c r="AT214" s="32" t="str">
        <f t="shared" si="215"/>
        <v>0.000217752658021524i</v>
      </c>
      <c r="AU214" s="32">
        <f t="shared" si="239"/>
        <v>2.17752658021524E-4</v>
      </c>
      <c r="AV214" s="32">
        <f t="shared" si="240"/>
        <v>1.5707963267948966</v>
      </c>
      <c r="AW214" s="32" t="str">
        <f t="shared" si="216"/>
        <v>1+0.0463614107909537i</v>
      </c>
      <c r="AX214" s="32">
        <f t="shared" si="241"/>
        <v>1.0010741133455243</v>
      </c>
      <c r="AY214" s="32">
        <f t="shared" si="242"/>
        <v>4.6328237459002698E-2</v>
      </c>
      <c r="AZ214" s="32" t="str">
        <f t="shared" si="217"/>
        <v>1+0.880866805028122i</v>
      </c>
      <c r="BA214" s="32">
        <f t="shared" si="243"/>
        <v>1.3326388588812992</v>
      </c>
      <c r="BB214" s="32">
        <f t="shared" si="244"/>
        <v>0.72214314690435966</v>
      </c>
      <c r="BC214" s="60" t="str">
        <f t="shared" si="245"/>
        <v>-0.652901106041924+0.8143319801576i</v>
      </c>
      <c r="BD214" s="51">
        <f t="shared" si="246"/>
        <v>0.3719392005895103</v>
      </c>
      <c r="BE214" s="63">
        <f t="shared" si="247"/>
        <v>128.72134204323484</v>
      </c>
      <c r="BF214" s="60" t="str">
        <f t="shared" si="248"/>
        <v>4.64564751023045+9.0446061673206i</v>
      </c>
      <c r="BG214" s="66">
        <f t="shared" si="249"/>
        <v>20.144656878125524</v>
      </c>
      <c r="BH214" s="63">
        <f t="shared" si="250"/>
        <v>62.813274637804845</v>
      </c>
      <c r="BI214" s="60" t="e">
        <f t="shared" si="203"/>
        <v>#NUM!</v>
      </c>
      <c r="BJ214" s="66" t="e">
        <f t="shared" si="251"/>
        <v>#NUM!</v>
      </c>
      <c r="BK214" s="63" t="e">
        <f t="shared" si="204"/>
        <v>#NUM!</v>
      </c>
      <c r="BL214" s="51">
        <f t="shared" si="252"/>
        <v>20.144656878125524</v>
      </c>
      <c r="BM214" s="63">
        <f t="shared" si="253"/>
        <v>62.813274637804845</v>
      </c>
    </row>
    <row r="215" spans="14:65" x14ac:dyDescent="0.3">
      <c r="N215" s="11">
        <v>97</v>
      </c>
      <c r="O215" s="52">
        <f t="shared" si="205"/>
        <v>933.25430079699106</v>
      </c>
      <c r="P215" s="50" t="str">
        <f t="shared" si="206"/>
        <v>23.3035714285714</v>
      </c>
      <c r="Q215" s="18" t="str">
        <f t="shared" si="207"/>
        <v>1+2.22405925453174i</v>
      </c>
      <c r="R215" s="18">
        <f t="shared" si="218"/>
        <v>2.4385322568439154</v>
      </c>
      <c r="S215" s="18">
        <f t="shared" si="219"/>
        <v>1.1482515428440327</v>
      </c>
      <c r="T215" s="18" t="str">
        <f t="shared" si="208"/>
        <v>1+0.0103789431878148i</v>
      </c>
      <c r="U215" s="18">
        <f t="shared" si="220"/>
        <v>1.0000538597804101</v>
      </c>
      <c r="V215" s="18">
        <f t="shared" si="221"/>
        <v>1.0378570530130667E-2</v>
      </c>
      <c r="W215" s="32" t="str">
        <f t="shared" si="209"/>
        <v>1-0.0143337570704284i</v>
      </c>
      <c r="X215" s="18">
        <f t="shared" si="222"/>
        <v>1.0001027230198676</v>
      </c>
      <c r="Y215" s="18">
        <f t="shared" si="223"/>
        <v>-1.4332775536464892E-2</v>
      </c>
      <c r="Z215" s="32" t="str">
        <f t="shared" si="210"/>
        <v>0.99999651614564+0.00703495910508535i</v>
      </c>
      <c r="AA215" s="18">
        <f t="shared" si="224"/>
        <v>1.0000212612504933</v>
      </c>
      <c r="AB215" s="18">
        <f t="shared" si="225"/>
        <v>7.0348675612781422E-3</v>
      </c>
      <c r="AC215" s="68" t="str">
        <f t="shared" si="226"/>
        <v>3.82341474213955-8.75961507834733i</v>
      </c>
      <c r="AD215" s="66">
        <f t="shared" si="227"/>
        <v>19.60705492890736</v>
      </c>
      <c r="AE215" s="63">
        <f t="shared" si="228"/>
        <v>-66.419594703235418</v>
      </c>
      <c r="AF215" s="51" t="e">
        <f t="shared" si="229"/>
        <v>#NUM!</v>
      </c>
      <c r="AG215" s="51" t="str">
        <f t="shared" si="211"/>
        <v>1-3.11368295634444i</v>
      </c>
      <c r="AH215" s="51">
        <f t="shared" si="230"/>
        <v>3.2703243803374993</v>
      </c>
      <c r="AI215" s="51">
        <f t="shared" si="231"/>
        <v>-1.2600386976257478</v>
      </c>
      <c r="AJ215" s="51" t="str">
        <f t="shared" si="212"/>
        <v>1+0.0103789431878148i</v>
      </c>
      <c r="AK215" s="51">
        <f t="shared" si="232"/>
        <v>1.0000538597804101</v>
      </c>
      <c r="AL215" s="51">
        <f t="shared" si="233"/>
        <v>1.0378570530130667E-2</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-0.000170731707317073</v>
      </c>
      <c r="AT215" s="32" t="str">
        <f t="shared" si="215"/>
        <v>0.000222824769003933i</v>
      </c>
      <c r="AU215" s="32">
        <f t="shared" si="239"/>
        <v>2.2282476900393301E-4</v>
      </c>
      <c r="AV215" s="32">
        <f t="shared" si="240"/>
        <v>1.5707963267948966</v>
      </c>
      <c r="AW215" s="32" t="str">
        <f t="shared" si="216"/>
        <v>1+0.0474413067746323i</v>
      </c>
      <c r="AX215" s="32">
        <f t="shared" si="241"/>
        <v>1.001124706312098</v>
      </c>
      <c r="AY215" s="32">
        <f t="shared" si="242"/>
        <v>4.7405763065449406E-2</v>
      </c>
      <c r="AZ215" s="32" t="str">
        <f t="shared" si="217"/>
        <v>1+0.901384828718015i</v>
      </c>
      <c r="BA215" s="32">
        <f t="shared" si="243"/>
        <v>1.3462891997795292</v>
      </c>
      <c r="BB215" s="32">
        <f t="shared" si="244"/>
        <v>0.73357967390081202</v>
      </c>
      <c r="BC215" s="60" t="str">
        <f t="shared" si="245"/>
        <v>-0.652835117521282+0.797186471962082i</v>
      </c>
      <c r="BD215" s="51">
        <f t="shared" si="246"/>
        <v>0.26001801710131195</v>
      </c>
      <c r="BE215" s="63">
        <f t="shared" si="247"/>
        <v>129.31486910285236</v>
      </c>
      <c r="BF215" s="60" t="str">
        <f t="shared" si="248"/>
        <v>4.48698722753629+8.76655884824812i</v>
      </c>
      <c r="BG215" s="66">
        <f t="shared" si="249"/>
        <v>19.86707294600868</v>
      </c>
      <c r="BH215" s="63">
        <f t="shared" si="250"/>
        <v>62.895274399616945</v>
      </c>
      <c r="BI215" s="60" t="e">
        <f t="shared" si="203"/>
        <v>#NUM!</v>
      </c>
      <c r="BJ215" s="66" t="e">
        <f t="shared" si="251"/>
        <v>#NUM!</v>
      </c>
      <c r="BK215" s="63" t="e">
        <f t="shared" si="204"/>
        <v>#NUM!</v>
      </c>
      <c r="BL215" s="51">
        <f t="shared" si="252"/>
        <v>19.86707294600868</v>
      </c>
      <c r="BM215" s="63">
        <f t="shared" si="253"/>
        <v>62.895274399616945</v>
      </c>
    </row>
    <row r="216" spans="14:65" x14ac:dyDescent="0.3">
      <c r="N216" s="11">
        <v>98</v>
      </c>
      <c r="O216" s="52">
        <f t="shared" si="205"/>
        <v>954.99258602143675</v>
      </c>
      <c r="P216" s="50" t="str">
        <f t="shared" si="206"/>
        <v>23.3035714285714</v>
      </c>
      <c r="Q216" s="18" t="str">
        <f t="shared" si="207"/>
        <v>1+2.27586424957949i</v>
      </c>
      <c r="R216" s="18">
        <f t="shared" si="218"/>
        <v>2.4858716947006769</v>
      </c>
      <c r="S216" s="18">
        <f t="shared" si="219"/>
        <v>1.1567976770583708</v>
      </c>
      <c r="T216" s="18" t="str">
        <f t="shared" si="208"/>
        <v>1+0.0106206998313709i</v>
      </c>
      <c r="U216" s="18">
        <f t="shared" si="220"/>
        <v>1.0000563980420845</v>
      </c>
      <c r="V216" s="18">
        <f t="shared" si="221"/>
        <v>1.0620300522684326E-2</v>
      </c>
      <c r="W216" s="32" t="str">
        <f t="shared" si="209"/>
        <v>1-0.0146676331632241i</v>
      </c>
      <c r="X216" s="18">
        <f t="shared" si="222"/>
        <v>1.0001075639463042</v>
      </c>
      <c r="Y216" s="18">
        <f t="shared" si="223"/>
        <v>-1.4666581436742649E-2</v>
      </c>
      <c r="Z216" s="32" t="str">
        <f t="shared" si="210"/>
        <v>0.999996351956643+0.00719882435321553i</v>
      </c>
      <c r="AA216" s="18">
        <f t="shared" si="224"/>
        <v>1.000022263251505</v>
      </c>
      <c r="AB216" s="18">
        <f t="shared" si="225"/>
        <v>7.1987262623759091E-3</v>
      </c>
      <c r="AC216" s="68" t="str">
        <f t="shared" si="226"/>
        <v>3.6748486248396-8.62553704515572i</v>
      </c>
      <c r="AD216" s="66">
        <f t="shared" si="227"/>
        <v>19.440106225188238</v>
      </c>
      <c r="AE216" s="63">
        <f t="shared" si="228"/>
        <v>-66.923916097786261</v>
      </c>
      <c r="AF216" s="51" t="e">
        <f t="shared" si="229"/>
        <v>#NUM!</v>
      </c>
      <c r="AG216" s="51" t="str">
        <f t="shared" si="211"/>
        <v>1-3.18620994941129i</v>
      </c>
      <c r="AH216" s="51">
        <f t="shared" si="230"/>
        <v>3.3394511288125619</v>
      </c>
      <c r="AI216" s="51">
        <f t="shared" si="231"/>
        <v>-1.2666797505355858</v>
      </c>
      <c r="AJ216" s="51" t="str">
        <f t="shared" si="212"/>
        <v>1+0.0106206998313709i</v>
      </c>
      <c r="AK216" s="51">
        <f t="shared" si="232"/>
        <v>1.0000563980420845</v>
      </c>
      <c r="AL216" s="51">
        <f t="shared" si="233"/>
        <v>1.0620300522684326E-2</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-0.000170731707317073</v>
      </c>
      <c r="AT216" s="32" t="str">
        <f t="shared" si="215"/>
        <v>0.000228015024628302i</v>
      </c>
      <c r="AU216" s="32">
        <f t="shared" si="239"/>
        <v>2.2801502462830201E-4</v>
      </c>
      <c r="AV216" s="32">
        <f t="shared" si="240"/>
        <v>1.5707963267948966</v>
      </c>
      <c r="AW216" s="32" t="str">
        <f t="shared" si="216"/>
        <v>1+0.0485463567671227i</v>
      </c>
      <c r="AX216" s="32">
        <f t="shared" si="241"/>
        <v>1.0011776809115158</v>
      </c>
      <c r="AY216" s="32">
        <f t="shared" si="242"/>
        <v>4.8508273415740745E-2</v>
      </c>
      <c r="AZ216" s="32" t="str">
        <f t="shared" si="217"/>
        <v>1+0.922380778575334i</v>
      </c>
      <c r="BA216" s="32">
        <f t="shared" si="243"/>
        <v>1.3604360700471152</v>
      </c>
      <c r="BB216" s="32">
        <f t="shared" si="244"/>
        <v>0.74504347228467149</v>
      </c>
      <c r="BC216" s="60" t="str">
        <f t="shared" si="245"/>
        <v>-0.65276603335262+0.780463348122226i</v>
      </c>
      <c r="BD216" s="51">
        <f t="shared" si="246"/>
        <v>0.15035394101339808</v>
      </c>
      <c r="BE216" s="63">
        <f t="shared" si="247"/>
        <v>129.90852717749519</v>
      </c>
      <c r="BF216" s="60" t="str">
        <f t="shared" si="248"/>
        <v>4.33309916160665+8.49854226408705i</v>
      </c>
      <c r="BG216" s="66">
        <f t="shared" si="249"/>
        <v>19.590460166201634</v>
      </c>
      <c r="BH216" s="63">
        <f t="shared" si="250"/>
        <v>62.984611079708927</v>
      </c>
      <c r="BI216" s="60" t="e">
        <f t="shared" si="203"/>
        <v>#NUM!</v>
      </c>
      <c r="BJ216" s="66" t="e">
        <f t="shared" si="251"/>
        <v>#NUM!</v>
      </c>
      <c r="BK216" s="63" t="e">
        <f t="shared" si="204"/>
        <v>#NUM!</v>
      </c>
      <c r="BL216" s="51">
        <f t="shared" si="252"/>
        <v>19.590460166201634</v>
      </c>
      <c r="BM216" s="63">
        <f t="shared" si="253"/>
        <v>62.984611079708927</v>
      </c>
    </row>
    <row r="217" spans="14:65" x14ac:dyDescent="0.3">
      <c r="N217" s="11">
        <v>99</v>
      </c>
      <c r="O217" s="52">
        <f t="shared" si="205"/>
        <v>977.23722095581138</v>
      </c>
      <c r="P217" s="50" t="str">
        <f t="shared" si="206"/>
        <v>23.3035714285714</v>
      </c>
      <c r="Q217" s="18" t="str">
        <f t="shared" si="207"/>
        <v>1+2.32887593797699i</v>
      </c>
      <c r="R217" s="18">
        <f t="shared" si="218"/>
        <v>2.5344946507120909</v>
      </c>
      <c r="S217" s="18">
        <f t="shared" si="219"/>
        <v>1.1652117577524219</v>
      </c>
      <c r="T217" s="18" t="str">
        <f t="shared" si="208"/>
        <v>1+0.0108680877105593i</v>
      </c>
      <c r="U217" s="18">
        <f t="shared" si="220"/>
        <v>1.0000590559214413</v>
      </c>
      <c r="V217" s="18">
        <f t="shared" si="221"/>
        <v>1.0867659844957493E-2</v>
      </c>
      <c r="W217" s="32" t="str">
        <f t="shared" si="209"/>
        <v>1-0.0150092862292721i</v>
      </c>
      <c r="X217" s="18">
        <f t="shared" si="222"/>
        <v>1.0001126329934604</v>
      </c>
      <c r="Y217" s="18">
        <f t="shared" si="223"/>
        <v>-1.5008159290897924E-2</v>
      </c>
      <c r="Z217" s="32" t="str">
        <f t="shared" si="210"/>
        <v>0.999996180029656+0.00736650651330549i</v>
      </c>
      <c r="AA217" s="18">
        <f t="shared" si="224"/>
        <v>1.0000233124743216</v>
      </c>
      <c r="AB217" s="18">
        <f t="shared" si="225"/>
        <v>7.3664014072085384E-3</v>
      </c>
      <c r="AC217" s="68" t="str">
        <f t="shared" si="226"/>
        <v>3.53083814718613-8.49106975765537i</v>
      </c>
      <c r="AD217" s="66">
        <f t="shared" si="227"/>
        <v>19.271910828047176</v>
      </c>
      <c r="AE217" s="63">
        <f t="shared" si="228"/>
        <v>-67.421012812394792</v>
      </c>
      <c r="AF217" s="51" t="e">
        <f t="shared" si="229"/>
        <v>#NUM!</v>
      </c>
      <c r="AG217" s="51" t="str">
        <f t="shared" si="211"/>
        <v>1-3.26042631316779i</v>
      </c>
      <c r="AH217" s="51">
        <f t="shared" si="230"/>
        <v>3.4103342568723245</v>
      </c>
      <c r="AI217" s="51">
        <f t="shared" si="231"/>
        <v>-1.2731964952207264</v>
      </c>
      <c r="AJ217" s="51" t="str">
        <f t="shared" si="212"/>
        <v>1+0.0108680877105593i</v>
      </c>
      <c r="AK217" s="51">
        <f t="shared" si="232"/>
        <v>1.0000590559214413</v>
      </c>
      <c r="AL217" s="51">
        <f t="shared" si="233"/>
        <v>1.0867659844957493E-2</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-0.000170731707317073</v>
      </c>
      <c r="AT217" s="32" t="str">
        <f t="shared" si="215"/>
        <v>0.000233326176836865i</v>
      </c>
      <c r="AU217" s="32">
        <f t="shared" si="239"/>
        <v>2.3332617683686501E-4</v>
      </c>
      <c r="AV217" s="32">
        <f t="shared" si="240"/>
        <v>1.5707963267948966</v>
      </c>
      <c r="AW217" s="32" t="str">
        <f t="shared" si="216"/>
        <v>1+0.0496771466805581i</v>
      </c>
      <c r="AX217" s="32">
        <f t="shared" si="241"/>
        <v>1.0012331491227813</v>
      </c>
      <c r="AY217" s="32">
        <f t="shared" si="242"/>
        <v>4.9636342348296884E-2</v>
      </c>
      <c r="AZ217" s="32" t="str">
        <f t="shared" si="217"/>
        <v>1+0.943865786930605i</v>
      </c>
      <c r="BA217" s="32">
        <f t="shared" si="243"/>
        <v>1.3750936781681931</v>
      </c>
      <c r="BB217" s="32">
        <f t="shared" si="244"/>
        <v>0.75652856885297526</v>
      </c>
      <c r="BC217" s="60" t="str">
        <f t="shared" si="245"/>
        <v>-0.652693709016728+0.764153720856792i</v>
      </c>
      <c r="BD217" s="51">
        <f t="shared" si="246"/>
        <v>4.295567706225787E-2</v>
      </c>
      <c r="BE217" s="63">
        <f t="shared" si="247"/>
        <v>130.50194114932387</v>
      </c>
      <c r="BF217" s="60" t="str">
        <f t="shared" si="248"/>
        <v>4.18392670314226+8.24017092155924i</v>
      </c>
      <c r="BG217" s="66">
        <f t="shared" si="249"/>
        <v>19.314866505109435</v>
      </c>
      <c r="BH217" s="63">
        <f t="shared" si="250"/>
        <v>63.080928336929148</v>
      </c>
      <c r="BI217" s="60" t="e">
        <f t="shared" si="203"/>
        <v>#NUM!</v>
      </c>
      <c r="BJ217" s="66" t="e">
        <f t="shared" si="251"/>
        <v>#NUM!</v>
      </c>
      <c r="BK217" s="63" t="e">
        <f t="shared" si="204"/>
        <v>#NUM!</v>
      </c>
      <c r="BL217" s="51">
        <f t="shared" si="252"/>
        <v>19.314866505109435</v>
      </c>
      <c r="BM217" s="63">
        <f t="shared" si="253"/>
        <v>63.080928336929148</v>
      </c>
    </row>
    <row r="218" spans="14:65" x14ac:dyDescent="0.3">
      <c r="N218" s="11">
        <v>100</v>
      </c>
      <c r="O218" s="52">
        <f t="shared" si="205"/>
        <v>1000</v>
      </c>
      <c r="P218" s="50" t="str">
        <f t="shared" si="206"/>
        <v>23.3035714285714</v>
      </c>
      <c r="Q218" s="18" t="str">
        <f t="shared" si="207"/>
        <v>1+2.38312242722312i</v>
      </c>
      <c r="R218" s="18">
        <f t="shared" si="218"/>
        <v>2.5844288543378044</v>
      </c>
      <c r="S218" s="18">
        <f t="shared" si="219"/>
        <v>1.1734934796163539</v>
      </c>
      <c r="T218" s="18" t="str">
        <f t="shared" si="208"/>
        <v>1+0.0111212379937079i</v>
      </c>
      <c r="U218" s="18">
        <f t="shared" si="220"/>
        <v>1.0000618390552221</v>
      </c>
      <c r="V218" s="18">
        <f t="shared" si="221"/>
        <v>1.1120779528986623E-2</v>
      </c>
      <c r="W218" s="32" t="str">
        <f t="shared" si="209"/>
        <v>1-0.0153588974175501i</v>
      </c>
      <c r="X218" s="18">
        <f t="shared" si="222"/>
        <v>1.0001179409099124</v>
      </c>
      <c r="Y218" s="18">
        <f t="shared" si="223"/>
        <v>-1.5357689889017152E-2</v>
      </c>
      <c r="Z218" s="32" t="str">
        <f t="shared" si="210"/>
        <v>0.999996+0.00753809449265603i</v>
      </c>
      <c r="AA218" s="18">
        <f t="shared" si="224"/>
        <v>1.0000244111443382</v>
      </c>
      <c r="AB218" s="18">
        <f t="shared" si="225"/>
        <v>7.5379818695914423E-3</v>
      </c>
      <c r="AC218" s="68" t="str">
        <f t="shared" si="226"/>
        <v>3.39132266043252-8.35637042415681i</v>
      </c>
      <c r="AD218" s="66">
        <f t="shared" si="227"/>
        <v>19.10250751222932</v>
      </c>
      <c r="AE218" s="63">
        <f t="shared" si="228"/>
        <v>-67.91087529711713</v>
      </c>
      <c r="AF218" s="51" t="e">
        <f t="shared" si="229"/>
        <v>#NUM!</v>
      </c>
      <c r="AG218" s="51" t="str">
        <f t="shared" si="211"/>
        <v>1-3.33637139811237i</v>
      </c>
      <c r="AH218" s="51">
        <f t="shared" si="230"/>
        <v>3.483012217340371</v>
      </c>
      <c r="AI218" s="51">
        <f t="shared" si="231"/>
        <v>-1.2795901721210656</v>
      </c>
      <c r="AJ218" s="51" t="str">
        <f t="shared" si="212"/>
        <v>1+0.0111212379937079i</v>
      </c>
      <c r="AK218" s="51">
        <f t="shared" si="232"/>
        <v>1.0000618390552221</v>
      </c>
      <c r="AL218" s="51">
        <f t="shared" si="233"/>
        <v>1.1120779528986623E-2</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-0.000170731707317073</v>
      </c>
      <c r="AT218" s="32" t="str">
        <f t="shared" si="215"/>
        <v>0.000238761041672824i</v>
      </c>
      <c r="AU218" s="32">
        <f t="shared" si="239"/>
        <v>2.38761041672824E-4</v>
      </c>
      <c r="AV218" s="32">
        <f t="shared" si="240"/>
        <v>1.5707963267948966</v>
      </c>
      <c r="AW218" s="32" t="str">
        <f t="shared" si="216"/>
        <v>1+0.0508342760747182i</v>
      </c>
      <c r="AX218" s="32">
        <f t="shared" si="241"/>
        <v>1.001291228176918</v>
      </c>
      <c r="AY218" s="32">
        <f t="shared" si="242"/>
        <v>5.0790556489574562E-2</v>
      </c>
      <c r="AZ218" s="32" t="str">
        <f t="shared" si="217"/>
        <v>1+0.965851245419647i</v>
      </c>
      <c r="BA218" s="32">
        <f t="shared" si="243"/>
        <v>1.3902764574999762</v>
      </c>
      <c r="BB218" s="32">
        <f t="shared" si="244"/>
        <v>0.76802893443012887</v>
      </c>
      <c r="BC218" s="60" t="str">
        <f t="shared" si="245"/>
        <v>-0.652617993315264+0.748248920139068i</v>
      </c>
      <c r="BD218" s="51">
        <f t="shared" si="246"/>
        <v>-6.2170492016079971E-2</v>
      </c>
      <c r="BE218" s="63">
        <f t="shared" si="247"/>
        <v>131.09473196080273</v>
      </c>
      <c r="BF218" s="60" t="str">
        <f t="shared" si="248"/>
        <v>4.03940695682132+7.99107121612402i</v>
      </c>
      <c r="BG218" s="66">
        <f t="shared" si="249"/>
        <v>19.040337020213233</v>
      </c>
      <c r="BH218" s="63">
        <f t="shared" si="250"/>
        <v>63.183856663685624</v>
      </c>
      <c r="BI218" s="60" t="e">
        <f t="shared" si="203"/>
        <v>#NUM!</v>
      </c>
      <c r="BJ218" s="66" t="e">
        <f t="shared" si="251"/>
        <v>#NUM!</v>
      </c>
      <c r="BK218" s="63" t="e">
        <f t="shared" si="204"/>
        <v>#NUM!</v>
      </c>
      <c r="BL218" s="51">
        <f t="shared" si="252"/>
        <v>19.040337020213233</v>
      </c>
      <c r="BM218" s="63">
        <f t="shared" si="253"/>
        <v>63.183856663685624</v>
      </c>
    </row>
    <row r="219" spans="14:65" x14ac:dyDescent="0.3">
      <c r="N219" s="11">
        <v>1</v>
      </c>
      <c r="O219" s="52">
        <f>10^(3+(N219/100))</f>
        <v>1023.2929922807547</v>
      </c>
      <c r="P219" s="50" t="str">
        <f t="shared" si="206"/>
        <v>23.3035714285714</v>
      </c>
      <c r="Q219" s="18" t="str">
        <f t="shared" si="207"/>
        <v>1+2.43863247952452i</v>
      </c>
      <c r="R219" s="18">
        <f t="shared" si="218"/>
        <v>2.6357026331116922</v>
      </c>
      <c r="S219" s="18">
        <f t="shared" si="219"/>
        <v>1.1816426885351328</v>
      </c>
      <c r="T219" s="18" t="str">
        <f t="shared" si="208"/>
        <v>1+0.0113802849044477i</v>
      </c>
      <c r="U219" s="18">
        <f t="shared" si="220"/>
        <v>1.0000647533457552</v>
      </c>
      <c r="V219" s="18">
        <f t="shared" si="221"/>
        <v>1.1379793652365994E-2</v>
      </c>
      <c r="W219" s="32" t="str">
        <f t="shared" si="209"/>
        <v>1-0.015716652096538i</v>
      </c>
      <c r="X219" s="18">
        <f t="shared" si="222"/>
        <v>1.0001234989505663</v>
      </c>
      <c r="Y219" s="18">
        <f t="shared" si="223"/>
        <v>-1.57153582150324E-2</v>
      </c>
      <c r="Z219" s="32" t="str">
        <f t="shared" si="210"/>
        <v>0.999995811485808+0.00771367926948506i</v>
      </c>
      <c r="AA219" s="18">
        <f t="shared" si="224"/>
        <v>1.0000255615918185</v>
      </c>
      <c r="AB219" s="18">
        <f t="shared" si="225"/>
        <v>7.7135585918625179E-3</v>
      </c>
      <c r="AC219" s="68" t="str">
        <f t="shared" si="226"/>
        <v>3.2562360099035-8.22158938419764i</v>
      </c>
      <c r="AD219" s="66">
        <f t="shared" si="227"/>
        <v>18.931934516409932</v>
      </c>
      <c r="AE219" s="63">
        <f t="shared" si="228"/>
        <v>-68.393502849142664</v>
      </c>
      <c r="AF219" s="51" t="e">
        <f t="shared" si="229"/>
        <v>#NUM!</v>
      </c>
      <c r="AG219" s="51" t="str">
        <f t="shared" si="211"/>
        <v>1-3.41408547133433i</v>
      </c>
      <c r="AH219" s="51">
        <f t="shared" si="230"/>
        <v>3.5575243647199599</v>
      </c>
      <c r="AI219" s="51">
        <f t="shared" si="231"/>
        <v>-1.2858620795328792</v>
      </c>
      <c r="AJ219" s="51" t="str">
        <f t="shared" si="212"/>
        <v>1+0.0113802849044477i</v>
      </c>
      <c r="AK219" s="51">
        <f t="shared" si="232"/>
        <v>1.0000647533457552</v>
      </c>
      <c r="AL219" s="51">
        <f t="shared" si="233"/>
        <v>1.1379793652365994E-2</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-0.000170731707317073</v>
      </c>
      <c r="AT219" s="32" t="str">
        <f t="shared" si="215"/>
        <v>0.000244322500773454i</v>
      </c>
      <c r="AU219" s="32">
        <f t="shared" si="239"/>
        <v>2.44322500773454E-4</v>
      </c>
      <c r="AV219" s="32">
        <f t="shared" si="240"/>
        <v>1.5707963267948966</v>
      </c>
      <c r="AW219" s="32" t="str">
        <f t="shared" si="216"/>
        <v>1+0.0520183584749243i</v>
      </c>
      <c r="AX219" s="32">
        <f t="shared" si="241"/>
        <v>1.0013520408020475</v>
      </c>
      <c r="AY219" s="32">
        <f t="shared" si="242"/>
        <v>5.1971515510956745E-2</v>
      </c>
      <c r="AZ219" s="32" t="str">
        <f t="shared" si="217"/>
        <v>1+0.988348811023563i</v>
      </c>
      <c r="BA219" s="32">
        <f t="shared" si="243"/>
        <v>1.4059990655230503</v>
      </c>
      <c r="BB219" s="32">
        <f t="shared" si="244"/>
        <v>0.77953849955923482</v>
      </c>
      <c r="BC219" s="60" t="str">
        <f t="shared" si="245"/>
        <v>-0.652538728068588+0.732740488995037i</v>
      </c>
      <c r="BD219" s="51">
        <f t="shared" si="246"/>
        <v>-0.16502073825702313</v>
      </c>
      <c r="BE219" s="63">
        <f t="shared" si="247"/>
        <v>131.68651749902841</v>
      </c>
      <c r="BF219" s="60" t="str">
        <f t="shared" si="248"/>
        <v>3.89947132149982+7.75088144564647i</v>
      </c>
      <c r="BG219" s="66">
        <f t="shared" si="249"/>
        <v>18.766913778152905</v>
      </c>
      <c r="BH219" s="63">
        <f t="shared" si="250"/>
        <v>63.293014649885741</v>
      </c>
      <c r="BI219" s="60" t="e">
        <f t="shared" si="203"/>
        <v>#NUM!</v>
      </c>
      <c r="BJ219" s="66" t="e">
        <f t="shared" si="251"/>
        <v>#NUM!</v>
      </c>
      <c r="BK219" s="63" t="e">
        <f t="shared" si="204"/>
        <v>#NUM!</v>
      </c>
      <c r="BL219" s="51">
        <f t="shared" si="252"/>
        <v>18.766913778152905</v>
      </c>
      <c r="BM219" s="63">
        <f t="shared" si="253"/>
        <v>63.293014649885741</v>
      </c>
    </row>
    <row r="220" spans="14:65" x14ac:dyDescent="0.3">
      <c r="N220" s="11">
        <v>2</v>
      </c>
      <c r="O220" s="52">
        <f t="shared" ref="O220:O283" si="254">10^(3+(N220/100))</f>
        <v>1047.1285480509</v>
      </c>
      <c r="P220" s="50" t="str">
        <f t="shared" si="206"/>
        <v>23.3035714285714</v>
      </c>
      <c r="Q220" s="18" t="str">
        <f t="shared" si="207"/>
        <v>1+2.49543552704568i</v>
      </c>
      <c r="R220" s="18">
        <f t="shared" si="218"/>
        <v>2.688344931299135</v>
      </c>
      <c r="S220" s="18">
        <f t="shared" si="219"/>
        <v>1.1896593747922672</v>
      </c>
      <c r="T220" s="18" t="str">
        <f t="shared" si="208"/>
        <v>1+0.0116453657928798i</v>
      </c>
      <c r="U220" s="18">
        <f t="shared" si="220"/>
        <v>1.0000678049734677</v>
      </c>
      <c r="V220" s="18">
        <f t="shared" si="221"/>
        <v>1.1644839408718027E-2</v>
      </c>
      <c r="W220" s="32" t="str">
        <f t="shared" si="209"/>
        <v>1-0.016082739952502i</v>
      </c>
      <c r="X220" s="18">
        <f t="shared" si="222"/>
        <v>1.0001293189005009</v>
      </c>
      <c r="Y220" s="18">
        <f t="shared" si="223"/>
        <v>-1.6081353543171889E-2</v>
      </c>
      <c r="Z220" s="32" t="str">
        <f t="shared" si="210"/>
        <v>0.999995614087215+0.00789335394116539i</v>
      </c>
      <c r="AA220" s="18">
        <f t="shared" si="224"/>
        <v>1.000026766256837</v>
      </c>
      <c r="AB220" s="18">
        <f t="shared" si="225"/>
        <v>7.8932246329486873E-3</v>
      </c>
      <c r="AC220" s="68" t="str">
        <f t="shared" si="226"/>
        <v>3.12550708207183-8.08687002903043i</v>
      </c>
      <c r="AD220" s="66">
        <f t="shared" si="227"/>
        <v>18.760229498791144</v>
      </c>
      <c r="AE220" s="63">
        <f t="shared" si="228"/>
        <v>-68.868903227640104</v>
      </c>
      <c r="AF220" s="51" t="e">
        <f t="shared" si="229"/>
        <v>#NUM!</v>
      </c>
      <c r="AG220" s="51" t="str">
        <f t="shared" si="211"/>
        <v>1-3.49360973786396i</v>
      </c>
      <c r="AH220" s="51">
        <f t="shared" si="230"/>
        <v>3.6339109786148986</v>
      </c>
      <c r="AI220" s="51">
        <f t="shared" si="231"/>
        <v>-1.2920135684237881</v>
      </c>
      <c r="AJ220" s="51" t="str">
        <f t="shared" si="212"/>
        <v>1+0.0116453657928798i</v>
      </c>
      <c r="AK220" s="51">
        <f t="shared" si="232"/>
        <v>1.0000678049734677</v>
      </c>
      <c r="AL220" s="51">
        <f t="shared" si="233"/>
        <v>1.1644839408718027E-2</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-0.000170731707317073</v>
      </c>
      <c r="AT220" s="32" t="str">
        <f t="shared" si="215"/>
        <v>0.000250013502897985i</v>
      </c>
      <c r="AU220" s="32">
        <f t="shared" si="239"/>
        <v>2.5001350289798502E-4</v>
      </c>
      <c r="AV220" s="32">
        <f t="shared" si="240"/>
        <v>1.5707963267948966</v>
      </c>
      <c r="AW220" s="32" t="str">
        <f t="shared" si="216"/>
        <v>1+0.0532300216973382i</v>
      </c>
      <c r="AX220" s="32">
        <f t="shared" si="241"/>
        <v>1.0014157154797896</v>
      </c>
      <c r="AY220" s="32">
        <f t="shared" si="242"/>
        <v>5.3179832388740314E-2</v>
      </c>
      <c r="AZ220" s="32" t="str">
        <f t="shared" si="217"/>
        <v>1+1.01137041224943i</v>
      </c>
      <c r="BA220" s="32">
        <f t="shared" si="243"/>
        <v>1.4222763833986636</v>
      </c>
      <c r="BB220" s="32">
        <f t="shared" si="244"/>
        <v>0.79105117045196305</v>
      </c>
      <c r="BC220" s="60" t="str">
        <f t="shared" si="245"/>
        <v>-0.652455747800545+0.717620178907203i</v>
      </c>
      <c r="BD220" s="51">
        <f t="shared" si="246"/>
        <v>-0.26559371129013398</v>
      </c>
      <c r="BE220" s="63">
        <f t="shared" si="247"/>
        <v>132.27691349469339</v>
      </c>
      <c r="BF220" s="60" t="str">
        <f t="shared" si="248"/>
        <v>3.76404605654304+7.51925178356898i</v>
      </c>
      <c r="BG220" s="66">
        <f t="shared" si="249"/>
        <v>18.494635787501007</v>
      </c>
      <c r="BH220" s="63">
        <f t="shared" si="250"/>
        <v>63.408010267053285</v>
      </c>
      <c r="BI220" s="60" t="e">
        <f t="shared" si="203"/>
        <v>#NUM!</v>
      </c>
      <c r="BJ220" s="66" t="e">
        <f t="shared" si="251"/>
        <v>#NUM!</v>
      </c>
      <c r="BK220" s="63" t="e">
        <f t="shared" si="204"/>
        <v>#NUM!</v>
      </c>
      <c r="BL220" s="51">
        <f t="shared" si="252"/>
        <v>18.494635787501007</v>
      </c>
      <c r="BM220" s="63">
        <f t="shared" si="253"/>
        <v>63.408010267053285</v>
      </c>
    </row>
    <row r="221" spans="14:65" x14ac:dyDescent="0.3">
      <c r="N221" s="11">
        <v>3</v>
      </c>
      <c r="O221" s="52">
        <f t="shared" si="254"/>
        <v>1071.5193052376069</v>
      </c>
      <c r="P221" s="50" t="str">
        <f t="shared" si="206"/>
        <v>23.3035714285714</v>
      </c>
      <c r="Q221" s="18" t="str">
        <f t="shared" si="207"/>
        <v>1+2.55356168751427i</v>
      </c>
      <c r="R221" s="18">
        <f t="shared" si="218"/>
        <v>2.7423853288589348</v>
      </c>
      <c r="S221" s="18">
        <f t="shared" si="219"/>
        <v>1.1975436662146235</v>
      </c>
      <c r="T221" s="18" t="str">
        <f t="shared" si="208"/>
        <v>1+0.0119166212083999i</v>
      </c>
      <c r="U221" s="18">
        <f t="shared" si="220"/>
        <v>1.0000710004099831</v>
      </c>
      <c r="V221" s="18">
        <f t="shared" si="221"/>
        <v>1.1916057179771277E-2</v>
      </c>
      <c r="W221" s="32" t="str">
        <f t="shared" si="209"/>
        <v>1-0.016457355090069i</v>
      </c>
      <c r="X221" s="18">
        <f t="shared" si="222"/>
        <v>1.0001354130999265</v>
      </c>
      <c r="Y221" s="18">
        <f t="shared" si="223"/>
        <v>-1.6455869536569832E-2</v>
      </c>
      <c r="Z221" s="32" t="str">
        <f t="shared" si="210"/>
        <v>0.999995407385514+0.00807721377358622i</v>
      </c>
      <c r="AA221" s="18">
        <f t="shared" si="224"/>
        <v>1.0000280276944562</v>
      </c>
      <c r="AB221" s="18">
        <f t="shared" si="225"/>
        <v>8.0770752175438922E-3</v>
      </c>
      <c r="AC221" s="68" t="str">
        <f t="shared" si="226"/>
        <v>2.99906033571254-7.95234876077997i</v>
      </c>
      <c r="AD221" s="66">
        <f t="shared" si="227"/>
        <v>18.587429497317466</v>
      </c>
      <c r="AE221" s="63">
        <f t="shared" si="228"/>
        <v>-69.337092265322198</v>
      </c>
      <c r="AF221" s="51" t="e">
        <f t="shared" si="229"/>
        <v>#NUM!</v>
      </c>
      <c r="AG221" s="51" t="str">
        <f t="shared" si="211"/>
        <v>1-3.57498636251999i</v>
      </c>
      <c r="AH221" s="51">
        <f t="shared" si="230"/>
        <v>3.7122132875420712</v>
      </c>
      <c r="AI221" s="51">
        <f t="shared" si="231"/>
        <v>-1.2980460374585194</v>
      </c>
      <c r="AJ221" s="51" t="str">
        <f t="shared" si="212"/>
        <v>1+0.0119166212083999i</v>
      </c>
      <c r="AK221" s="51">
        <f t="shared" si="232"/>
        <v>1.0000710004099831</v>
      </c>
      <c r="AL221" s="51">
        <f t="shared" si="233"/>
        <v>1.1916057179771277E-2</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-0.000170731707317073</v>
      </c>
      <c r="AT221" s="32" t="str">
        <f t="shared" si="215"/>
        <v>0.000255837065491072i</v>
      </c>
      <c r="AU221" s="32">
        <f t="shared" si="239"/>
        <v>2.5583706549107201E-4</v>
      </c>
      <c r="AV221" s="32">
        <f t="shared" si="240"/>
        <v>1.5707963267948966</v>
      </c>
      <c r="AW221" s="32" t="str">
        <f t="shared" si="216"/>
        <v>1+0.0544699081818387i</v>
      </c>
      <c r="AX221" s="32">
        <f t="shared" si="241"/>
        <v>1.0014823867134848</v>
      </c>
      <c r="AY221" s="32">
        <f t="shared" si="242"/>
        <v>5.441613366709476E-2</v>
      </c>
      <c r="AZ221" s="32" t="str">
        <f t="shared" si="217"/>
        <v>1+1.03492825545494i</v>
      </c>
      <c r="BA221" s="32">
        <f t="shared" si="243"/>
        <v>1.4391235158731184</v>
      </c>
      <c r="BB221" s="32">
        <f t="shared" si="244"/>
        <v>0.8025608450951629</v>
      </c>
      <c r="BC221" s="60" t="str">
        <f t="shared" si="245"/>
        <v>-0.652368879409728+0.702879945321109i</v>
      </c>
      <c r="BD221" s="51">
        <f t="shared" si="246"/>
        <v>-0.36389055103291734</v>
      </c>
      <c r="BE221" s="63">
        <f t="shared" si="247"/>
        <v>132.86553442986124</v>
      </c>
      <c r="BF221" s="60" t="str">
        <f t="shared" si="248"/>
        <v>3.63305283166046+7.29584421452571i</v>
      </c>
      <c r="BG221" s="66">
        <f t="shared" si="249"/>
        <v>18.223538946284556</v>
      </c>
      <c r="BH221" s="63">
        <f t="shared" si="250"/>
        <v>63.528442164539065</v>
      </c>
      <c r="BI221" s="60" t="e">
        <f t="shared" si="203"/>
        <v>#NUM!</v>
      </c>
      <c r="BJ221" s="66" t="e">
        <f t="shared" si="251"/>
        <v>#NUM!</v>
      </c>
      <c r="BK221" s="63" t="e">
        <f t="shared" si="204"/>
        <v>#NUM!</v>
      </c>
      <c r="BL221" s="51">
        <f t="shared" si="252"/>
        <v>18.223538946284556</v>
      </c>
      <c r="BM221" s="63">
        <f t="shared" si="253"/>
        <v>63.528442164539065</v>
      </c>
    </row>
    <row r="222" spans="14:65" x14ac:dyDescent="0.3">
      <c r="N222" s="11">
        <v>4</v>
      </c>
      <c r="O222" s="52">
        <f t="shared" si="254"/>
        <v>1096.4781961431863</v>
      </c>
      <c r="P222" s="50" t="str">
        <f t="shared" si="206"/>
        <v>23.3035714285714</v>
      </c>
      <c r="Q222" s="18" t="str">
        <f t="shared" si="207"/>
        <v>1+2.61304178018997i</v>
      </c>
      <c r="R222" s="18">
        <f t="shared" si="218"/>
        <v>2.7978540607076643</v>
      </c>
      <c r="S222" s="18">
        <f t="shared" si="219"/>
        <v>1.205295821294877</v>
      </c>
      <c r="T222" s="18" t="str">
        <f t="shared" si="208"/>
        <v>1+0.0121941949742199i</v>
      </c>
      <c r="U222" s="18">
        <f t="shared" si="220"/>
        <v>1.0000743464318387</v>
      </c>
      <c r="V222" s="18">
        <f t="shared" si="221"/>
        <v>1.2193590609082173E-2</v>
      </c>
      <c r="W222" s="32" t="str">
        <f t="shared" si="209"/>
        <v>1-0.0168406961351436i</v>
      </c>
      <c r="X222" s="18">
        <f t="shared" si="222"/>
        <v>1.0001417944703221</v>
      </c>
      <c r="Y222" s="18">
        <f t="shared" si="223"/>
        <v>-1.6839104348078553E-2</v>
      </c>
      <c r="Z222" s="32" t="str">
        <f t="shared" si="210"/>
        <v>0.999995190942262+0.00826535625166436i</v>
      </c>
      <c r="AA222" s="18">
        <f t="shared" si="224"/>
        <v>1.0000293485801395</v>
      </c>
      <c r="AB222" s="18">
        <f t="shared" si="225"/>
        <v>8.2652077864237474E-3</v>
      </c>
      <c r="AC222" s="68" t="str">
        <f t="shared" si="226"/>
        <v>2.876816314977-7.81815498731096i</v>
      </c>
      <c r="AD222" s="66">
        <f t="shared" si="227"/>
        <v>18.413570894365474</v>
      </c>
      <c r="AE222" s="63">
        <f t="shared" si="228"/>
        <v>-69.79809347882599</v>
      </c>
      <c r="AF222" s="51" t="e">
        <f t="shared" si="229"/>
        <v>#NUM!</v>
      </c>
      <c r="AG222" s="51" t="str">
        <f t="shared" si="211"/>
        <v>1-3.65825849226597i</v>
      </c>
      <c r="AH222" s="51">
        <f t="shared" si="230"/>
        <v>3.7924734931487776</v>
      </c>
      <c r="AI222" s="51">
        <f t="shared" si="231"/>
        <v>-1.3039609282375138</v>
      </c>
      <c r="AJ222" s="51" t="str">
        <f t="shared" si="212"/>
        <v>1+0.0121941949742199i</v>
      </c>
      <c r="AK222" s="51">
        <f t="shared" si="232"/>
        <v>1.0000743464318387</v>
      </c>
      <c r="AL222" s="51">
        <f t="shared" si="233"/>
        <v>1.2193590609082173E-2</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-0.000170731707317073</v>
      </c>
      <c r="AT222" s="32" t="str">
        <f t="shared" si="215"/>
        <v>0.000261796276282687i</v>
      </c>
      <c r="AU222" s="32">
        <f t="shared" si="239"/>
        <v>2.6179627628268701E-4</v>
      </c>
      <c r="AV222" s="32">
        <f t="shared" si="240"/>
        <v>1.5707963267948966</v>
      </c>
      <c r="AW222" s="32" t="str">
        <f t="shared" si="216"/>
        <v>1+0.0557386753326517i</v>
      </c>
      <c r="AX222" s="32">
        <f t="shared" si="241"/>
        <v>1.0015521953087811</v>
      </c>
      <c r="AY222" s="32">
        <f t="shared" si="242"/>
        <v>5.5681059723846148E-2</v>
      </c>
      <c r="AZ222" s="32" t="str">
        <f t="shared" si="217"/>
        <v>1+1.05903483132038i</v>
      </c>
      <c r="BA222" s="32">
        <f t="shared" si="243"/>
        <v>1.4565557915678291</v>
      </c>
      <c r="BB222" s="32">
        <f t="shared" si="244"/>
        <v>0.8140614294105708</v>
      </c>
      <c r="BC222" s="60" t="str">
        <f t="shared" si="245"/>
        <v>-0.652277941826662+0.688511943251651i</v>
      </c>
      <c r="BD222" s="51">
        <f t="shared" si="246"/>
        <v>-0.45991489016647763</v>
      </c>
      <c r="BE222" s="63">
        <f t="shared" si="247"/>
        <v>133.45199444862041</v>
      </c>
      <c r="BF222" s="60" t="str">
        <f t="shared" si="248"/>
        <v>3.5064092580095+7.08033243540791i</v>
      </c>
      <c r="BG222" s="66">
        <f t="shared" si="249"/>
        <v>17.953656004198994</v>
      </c>
      <c r="BH222" s="63">
        <f t="shared" si="250"/>
        <v>63.653900969794392</v>
      </c>
      <c r="BI222" s="60" t="e">
        <f t="shared" si="203"/>
        <v>#NUM!</v>
      </c>
      <c r="BJ222" s="66" t="e">
        <f t="shared" si="251"/>
        <v>#NUM!</v>
      </c>
      <c r="BK222" s="63" t="e">
        <f t="shared" si="204"/>
        <v>#NUM!</v>
      </c>
      <c r="BL222" s="51">
        <f t="shared" si="252"/>
        <v>17.953656004198994</v>
      </c>
      <c r="BM222" s="63">
        <f t="shared" si="253"/>
        <v>63.653900969794392</v>
      </c>
    </row>
    <row r="223" spans="14:65" x14ac:dyDescent="0.3">
      <c r="N223" s="11">
        <v>5</v>
      </c>
      <c r="O223" s="52">
        <f t="shared" si="254"/>
        <v>1122.0184543019636</v>
      </c>
      <c r="P223" s="50" t="str">
        <f t="shared" si="206"/>
        <v>23.3035714285714</v>
      </c>
      <c r="Q223" s="18" t="str">
        <f t="shared" si="207"/>
        <v>1+2.67390734220522i</v>
      </c>
      <c r="R223" s="18">
        <f t="shared" si="218"/>
        <v>2.8547820362856045</v>
      </c>
      <c r="S223" s="18">
        <f t="shared" si="219"/>
        <v>1.2129162223252399</v>
      </c>
      <c r="T223" s="18" t="str">
        <f t="shared" si="208"/>
        <v>1+0.0124782342636244i</v>
      </c>
      <c r="U223" s="18">
        <f t="shared" si="220"/>
        <v>1.0000778501348473</v>
      </c>
      <c r="V223" s="18">
        <f t="shared" si="221"/>
        <v>1.2477586677434522E-2</v>
      </c>
      <c r="W223" s="32" t="str">
        <f t="shared" si="209"/>
        <v>1-0.017232966340222i</v>
      </c>
      <c r="X223" s="18">
        <f t="shared" si="222"/>
        <v>1.0001484765417998</v>
      </c>
      <c r="Y223" s="18">
        <f t="shared" si="223"/>
        <v>-1.7231260723327188E-2</v>
      </c>
      <c r="Z223" s="32" t="str">
        <f t="shared" si="210"/>
        <v>0.999994964298353+0.00845788113103206i</v>
      </c>
      <c r="AA223" s="18">
        <f t="shared" si="224"/>
        <v>1.0000307317154262</v>
      </c>
      <c r="AB223" s="18">
        <f t="shared" si="225"/>
        <v>8.4577220479226944E-3</v>
      </c>
      <c r="AC223" s="68" t="str">
        <f t="shared" si="226"/>
        <v>2.75869214259136-7.68441114982009i</v>
      </c>
      <c r="AD223" s="66">
        <f t="shared" si="227"/>
        <v>18.238689385744777</v>
      </c>
      <c r="AE223" s="63">
        <f t="shared" si="228"/>
        <v>-70.251937679838989</v>
      </c>
      <c r="AF223" s="51" t="e">
        <f t="shared" si="229"/>
        <v>#NUM!</v>
      </c>
      <c r="AG223" s="51" t="str">
        <f t="shared" si="211"/>
        <v>1-3.74347027908732i</v>
      </c>
      <c r="AH223" s="51">
        <f t="shared" si="230"/>
        <v>3.8747347948485582</v>
      </c>
      <c r="AI223" s="51">
        <f t="shared" si="231"/>
        <v>-1.3097597207490992</v>
      </c>
      <c r="AJ223" s="51" t="str">
        <f t="shared" si="212"/>
        <v>1+0.0124782342636244i</v>
      </c>
      <c r="AK223" s="51">
        <f t="shared" si="232"/>
        <v>1.0000778501348473</v>
      </c>
      <c r="AL223" s="51">
        <f t="shared" si="233"/>
        <v>1.2477586677434522E-2</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-0.000170731707317073</v>
      </c>
      <c r="AT223" s="32" t="str">
        <f t="shared" si="215"/>
        <v>0.000267894294925269i</v>
      </c>
      <c r="AU223" s="32">
        <f t="shared" si="239"/>
        <v>2.6789429492526901E-4</v>
      </c>
      <c r="AV223" s="32">
        <f t="shared" si="240"/>
        <v>1.5707963267948966</v>
      </c>
      <c r="AW223" s="32" t="str">
        <f t="shared" si="216"/>
        <v>1+0.0570369958669146i</v>
      </c>
      <c r="AX223" s="32">
        <f t="shared" si="241"/>
        <v>1.0016252886671355</v>
      </c>
      <c r="AY223" s="32">
        <f t="shared" si="242"/>
        <v>5.697526503892323E-2</v>
      </c>
      <c r="AZ223" s="32" t="str">
        <f t="shared" si="217"/>
        <v>1+1.08370292147138i</v>
      </c>
      <c r="BA223" s="32">
        <f t="shared" si="243"/>
        <v>1.4745887636916282</v>
      </c>
      <c r="BB223" s="32">
        <f t="shared" si="244"/>
        <v>0.82554685336330924</v>
      </c>
      <c r="BC223" s="60" t="str">
        <f t="shared" si="245"/>
        <v>-0.652182745656457+0.674508522986273i</v>
      </c>
      <c r="BD223" s="51">
        <f t="shared" si="246"/>
        <v>-0.55367284639623904</v>
      </c>
      <c r="BE223" s="63">
        <f t="shared" si="247"/>
        <v>134.03590826465347</v>
      </c>
      <c r="BF223" s="60" t="str">
        <f t="shared" si="248"/>
        <v>3.38402939870827+6.87240172491589i</v>
      </c>
      <c r="BG223" s="66">
        <f t="shared" si="249"/>
        <v>17.685016539348538</v>
      </c>
      <c r="BH223" s="63">
        <f t="shared" si="250"/>
        <v>63.78397058481449</v>
      </c>
      <c r="BI223" s="60" t="e">
        <f t="shared" si="203"/>
        <v>#NUM!</v>
      </c>
      <c r="BJ223" s="66" t="e">
        <f t="shared" si="251"/>
        <v>#NUM!</v>
      </c>
      <c r="BK223" s="63" t="e">
        <f t="shared" si="204"/>
        <v>#NUM!</v>
      </c>
      <c r="BL223" s="51">
        <f t="shared" si="252"/>
        <v>17.685016539348538</v>
      </c>
      <c r="BM223" s="63">
        <f t="shared" si="253"/>
        <v>63.78397058481449</v>
      </c>
    </row>
    <row r="224" spans="14:65" x14ac:dyDescent="0.3">
      <c r="N224" s="11">
        <v>6</v>
      </c>
      <c r="O224" s="52">
        <f t="shared" si="254"/>
        <v>1148.1536214968839</v>
      </c>
      <c r="P224" s="50" t="str">
        <f t="shared" si="206"/>
        <v>23.3035714285714</v>
      </c>
      <c r="Q224" s="18" t="str">
        <f t="shared" si="207"/>
        <v>1+2.73619064528666i</v>
      </c>
      <c r="R224" s="18">
        <f t="shared" si="218"/>
        <v>2.9132008594249434</v>
      </c>
      <c r="S224" s="18">
        <f t="shared" si="219"/>
        <v>1.2204053685731879</v>
      </c>
      <c r="T224" s="18" t="str">
        <f t="shared" si="208"/>
        <v>1+0.0127688896780044i</v>
      </c>
      <c r="U224" s="18">
        <f t="shared" si="220"/>
        <v>1.000081518949135</v>
      </c>
      <c r="V224" s="18">
        <f t="shared" si="221"/>
        <v>1.2768195779954928E-2</v>
      </c>
      <c r="W224" s="32" t="str">
        <f t="shared" si="209"/>
        <v>1-0.0176343736921593i</v>
      </c>
      <c r="X224" s="18">
        <f t="shared" si="222"/>
        <v>1.0001554734817555</v>
      </c>
      <c r="Y224" s="18">
        <f t="shared" si="223"/>
        <v>-1.7632546106072716E-2</v>
      </c>
      <c r="Z224" s="32" t="str">
        <f t="shared" si="210"/>
        <v>0.999994726973046+0.00865489049092873i</v>
      </c>
      <c r="AA224" s="18">
        <f t="shared" si="224"/>
        <v>1.0000321800338763</v>
      </c>
      <c r="AB224" s="18">
        <f t="shared" si="225"/>
        <v>8.6547200305999925E-3</v>
      </c>
      <c r="AC224" s="68" t="str">
        <f t="shared" si="226"/>
        <v>2.6446019917288-7.55123278017892i</v>
      </c>
      <c r="AD224" s="66">
        <f t="shared" si="227"/>
        <v>18.062819953836676</v>
      </c>
      <c r="AE224" s="63">
        <f t="shared" si="228"/>
        <v>-70.698662588731651</v>
      </c>
      <c r="AF224" s="51" t="e">
        <f t="shared" si="229"/>
        <v>#NUM!</v>
      </c>
      <c r="AG224" s="51" t="str">
        <f t="shared" si="211"/>
        <v>1-3.83066690340134i</v>
      </c>
      <c r="AH224" s="51">
        <f t="shared" si="230"/>
        <v>3.959041414890025</v>
      </c>
      <c r="AI224" s="51">
        <f t="shared" si="231"/>
        <v>-1.3154439290347859</v>
      </c>
      <c r="AJ224" s="51" t="str">
        <f t="shared" si="212"/>
        <v>1+0.0127688896780044i</v>
      </c>
      <c r="AK224" s="51">
        <f t="shared" si="232"/>
        <v>1.000081518949135</v>
      </c>
      <c r="AL224" s="51">
        <f t="shared" si="233"/>
        <v>1.2768195779954928E-2</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-0.000170731707317073</v>
      </c>
      <c r="AT224" s="32" t="str">
        <f t="shared" si="215"/>
        <v>0.000274134354669022i</v>
      </c>
      <c r="AU224" s="32">
        <f t="shared" si="239"/>
        <v>2.74134354669022E-4</v>
      </c>
      <c r="AV224" s="32">
        <f t="shared" si="240"/>
        <v>1.5707963267948966</v>
      </c>
      <c r="AW224" s="32" t="str">
        <f t="shared" si="216"/>
        <v>1+0.05836555817136i</v>
      </c>
      <c r="AX224" s="32">
        <f t="shared" si="241"/>
        <v>1.0017018210928113</v>
      </c>
      <c r="AY224" s="32">
        <f t="shared" si="242"/>
        <v>5.8299418465283588E-2</v>
      </c>
      <c r="AZ224" s="32" t="str">
        <f t="shared" si="217"/>
        <v>1+1.10894560525584i</v>
      </c>
      <c r="BA224" s="32">
        <f t="shared" si="243"/>
        <v>1.4932382112095315</v>
      </c>
      <c r="BB224" s="32">
        <f t="shared" si="244"/>
        <v>0.83701108691544535</v>
      </c>
      <c r="BC224" s="60" t="str">
        <f t="shared" si="245"/>
        <v>-0.652083092806241+0.660862225882154i</v>
      </c>
      <c r="BD224" s="51">
        <f t="shared" si="246"/>
        <v>-0.64517300459508309</v>
      </c>
      <c r="BE224" s="63">
        <f t="shared" si="247"/>
        <v>134.61689205978487</v>
      </c>
      <c r="BF224" s="60" t="str">
        <f t="shared" si="248"/>
        <v>3.26582425725527+6.67174878462521i</v>
      </c>
      <c r="BG224" s="66">
        <f t="shared" si="249"/>
        <v>17.417646949241593</v>
      </c>
      <c r="BH224" s="63">
        <f t="shared" si="250"/>
        <v>63.918229471053188</v>
      </c>
      <c r="BI224" s="60" t="e">
        <f t="shared" si="203"/>
        <v>#NUM!</v>
      </c>
      <c r="BJ224" s="66" t="e">
        <f t="shared" si="251"/>
        <v>#NUM!</v>
      </c>
      <c r="BK224" s="63" t="e">
        <f t="shared" si="204"/>
        <v>#NUM!</v>
      </c>
      <c r="BL224" s="51">
        <f t="shared" si="252"/>
        <v>17.417646949241593</v>
      </c>
      <c r="BM224" s="63">
        <f t="shared" si="253"/>
        <v>63.918229471053188</v>
      </c>
    </row>
    <row r="225" spans="14:65" x14ac:dyDescent="0.3">
      <c r="N225" s="11">
        <v>7</v>
      </c>
      <c r="O225" s="52">
        <f t="shared" si="254"/>
        <v>1174.8975549395295</v>
      </c>
      <c r="P225" s="50" t="str">
        <f t="shared" si="206"/>
        <v>23.3035714285714</v>
      </c>
      <c r="Q225" s="18" t="str">
        <f t="shared" si="207"/>
        <v>1+2.79992471286599i</v>
      </c>
      <c r="R225" s="18">
        <f t="shared" si="218"/>
        <v>2.973142848522031</v>
      </c>
      <c r="S225" s="18">
        <f t="shared" si="219"/>
        <v>1.2277638695269768</v>
      </c>
      <c r="T225" s="18" t="str">
        <f t="shared" si="208"/>
        <v>1+0.013066315326708i</v>
      </c>
      <c r="U225" s="18">
        <f t="shared" si="220"/>
        <v>1.0000853606548878</v>
      </c>
      <c r="V225" s="18">
        <f t="shared" si="221"/>
        <v>1.3065571804979614E-2</v>
      </c>
      <c r="W225" s="32" t="str">
        <f t="shared" si="209"/>
        <v>1-0.0180451310224467i</v>
      </c>
      <c r="X225" s="18">
        <f t="shared" si="222"/>
        <v>1.0001628001248684</v>
      </c>
      <c r="Y225" s="18">
        <f t="shared" si="223"/>
        <v>-1.8043172745888326E-2</v>
      </c>
      <c r="Z225" s="32" t="str">
        <f t="shared" si="210"/>
        <v>0.999994478462942+0.0088564887883247i</v>
      </c>
      <c r="AA225" s="18">
        <f t="shared" si="224"/>
        <v>1.0000336966072838</v>
      </c>
      <c r="AB225" s="18">
        <f t="shared" si="225"/>
        <v>8.8563061371216469E-3</v>
      </c>
      <c r="AC225" s="68" t="str">
        <f t="shared" si="226"/>
        <v>2.53445753542517-7.41872858509133i</v>
      </c>
      <c r="AD225" s="66">
        <f t="shared" si="227"/>
        <v>17.885996844681806</v>
      </c>
      <c r="AE225" s="63">
        <f t="shared" si="228"/>
        <v>-71.138312452293704</v>
      </c>
      <c r="AF225" s="51" t="e">
        <f t="shared" si="229"/>
        <v>#NUM!</v>
      </c>
      <c r="AG225" s="51" t="str">
        <f t="shared" si="211"/>
        <v>1-3.9198945980124i</v>
      </c>
      <c r="AH225" s="51">
        <f t="shared" si="230"/>
        <v>4.0454386238734106</v>
      </c>
      <c r="AI225" s="51">
        <f t="shared" si="231"/>
        <v>-1.3210150970661538</v>
      </c>
      <c r="AJ225" s="51" t="str">
        <f t="shared" si="212"/>
        <v>1+0.013066315326708i</v>
      </c>
      <c r="AK225" s="51">
        <f t="shared" si="232"/>
        <v>1.0000853606548878</v>
      </c>
      <c r="AL225" s="51">
        <f t="shared" si="233"/>
        <v>1.3065571804979614E-2</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-0.000170731707317073</v>
      </c>
      <c r="AT225" s="32" t="str">
        <f t="shared" si="215"/>
        <v>0.000280519764076216i</v>
      </c>
      <c r="AU225" s="32">
        <f t="shared" si="239"/>
        <v>2.80519764076216E-4</v>
      </c>
      <c r="AV225" s="32">
        <f t="shared" si="240"/>
        <v>1.5707963267948966</v>
      </c>
      <c r="AW225" s="32" t="str">
        <f t="shared" si="216"/>
        <v>1+0.0597250666673073i</v>
      </c>
      <c r="AX225" s="32">
        <f t="shared" si="241"/>
        <v>1.001781954113975</v>
      </c>
      <c r="AY225" s="32">
        <f t="shared" si="242"/>
        <v>5.9654203502115886E-2</v>
      </c>
      <c r="AZ225" s="32" t="str">
        <f t="shared" si="217"/>
        <v>1+1.13477626667884i</v>
      </c>
      <c r="BA225" s="32">
        <f t="shared" si="243"/>
        <v>1.5125201404998103</v>
      </c>
      <c r="BB225" s="32">
        <f t="shared" si="244"/>
        <v>0.84844815572287524</v>
      </c>
      <c r="BC225" s="60" t="str">
        <f t="shared" si="245"/>
        <v>-0.651978776097053+0.647565780254539i</v>
      </c>
      <c r="BD225" s="51">
        <f t="shared" si="246"/>
        <v>-0.73442638901508983</v>
      </c>
      <c r="BE225" s="63">
        <f t="shared" si="247"/>
        <v>135.19456436769346</v>
      </c>
      <c r="BF225" s="60" t="str">
        <f t="shared" si="248"/>
        <v>3.15170224268486+6.47808155455366i</v>
      </c>
      <c r="BG225" s="66">
        <f t="shared" si="249"/>
        <v>17.151570455666707</v>
      </c>
      <c r="BH225" s="63">
        <f t="shared" si="250"/>
        <v>64.05625191539977</v>
      </c>
      <c r="BI225" s="60" t="e">
        <f t="shared" si="203"/>
        <v>#NUM!</v>
      </c>
      <c r="BJ225" s="66" t="e">
        <f t="shared" si="251"/>
        <v>#NUM!</v>
      </c>
      <c r="BK225" s="63" t="e">
        <f t="shared" si="204"/>
        <v>#NUM!</v>
      </c>
      <c r="BL225" s="51">
        <f t="shared" si="252"/>
        <v>17.151570455666707</v>
      </c>
      <c r="BM225" s="63">
        <f t="shared" si="253"/>
        <v>64.05625191539977</v>
      </c>
    </row>
    <row r="226" spans="14:65" x14ac:dyDescent="0.3">
      <c r="N226" s="11">
        <v>8</v>
      </c>
      <c r="O226" s="52">
        <f t="shared" si="254"/>
        <v>1202.2644346174138</v>
      </c>
      <c r="P226" s="50" t="str">
        <f t="shared" si="206"/>
        <v>23.3035714285714</v>
      </c>
      <c r="Q226" s="18" t="str">
        <f t="shared" si="207"/>
        <v>1+2.86514333758948i</v>
      </c>
      <c r="R226" s="18">
        <f t="shared" si="218"/>
        <v>3.0346410570170215</v>
      </c>
      <c r="S226" s="18">
        <f t="shared" si="219"/>
        <v>1.2349924382359136</v>
      </c>
      <c r="T226" s="18" t="str">
        <f t="shared" si="208"/>
        <v>1+0.0133706689087509i</v>
      </c>
      <c r="U226" s="18">
        <f t="shared" si="220"/>
        <v>1.0000893833988378</v>
      </c>
      <c r="V226" s="18">
        <f t="shared" si="221"/>
        <v>1.3369872214710735E-2</v>
      </c>
      <c r="W226" s="32" t="str">
        <f t="shared" si="209"/>
        <v>1-0.0184654561200577i</v>
      </c>
      <c r="X226" s="18">
        <f t="shared" si="222"/>
        <v>1.0001704720045086</v>
      </c>
      <c r="Y226" s="18">
        <f t="shared" si="223"/>
        <v>-1.8463357808235981E-2</v>
      </c>
      <c r="Z226" s="32" t="str">
        <f t="shared" si="210"/>
        <v>0.999994218240917+0.00906278291330574i</v>
      </c>
      <c r="AA226" s="18">
        <f t="shared" si="224"/>
        <v>1.0000352846521949</v>
      </c>
      <c r="AB226" s="18">
        <f t="shared" si="225"/>
        <v>9.0625871993857757E-3</v>
      </c>
      <c r="AC226" s="68" t="str">
        <f t="shared" si="226"/>
        <v>2.42816837270816-7.28700055420037i</v>
      </c>
      <c r="AD226" s="66">
        <f t="shared" si="227"/>
        <v>17.708253548823912</v>
      </c>
      <c r="AE226" s="63">
        <f t="shared" si="228"/>
        <v>-71.570937667002596</v>
      </c>
      <c r="AF226" s="51" t="e">
        <f t="shared" si="229"/>
        <v>#NUM!</v>
      </c>
      <c r="AG226" s="51" t="str">
        <f t="shared" si="211"/>
        <v>1-4.01120067262528i</v>
      </c>
      <c r="AH226" s="51">
        <f t="shared" si="230"/>
        <v>4.1339727667305084</v>
      </c>
      <c r="AI226" s="51">
        <f t="shared" si="231"/>
        <v>-1.3264747948309112</v>
      </c>
      <c r="AJ226" s="51" t="str">
        <f t="shared" si="212"/>
        <v>1+0.0133706689087509i</v>
      </c>
      <c r="AK226" s="51">
        <f t="shared" si="232"/>
        <v>1.0000893833988378</v>
      </c>
      <c r="AL226" s="51">
        <f t="shared" si="233"/>
        <v>1.3369872214710735E-2</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-0.000170731707317073</v>
      </c>
      <c r="AT226" s="32" t="str">
        <f t="shared" si="215"/>
        <v>0.000287053908775443i</v>
      </c>
      <c r="AU226" s="32">
        <f t="shared" si="239"/>
        <v>2.8705390877544298E-4</v>
      </c>
      <c r="AV226" s="32">
        <f t="shared" si="240"/>
        <v>1.5707963267948966</v>
      </c>
      <c r="AW226" s="32" t="str">
        <f t="shared" si="216"/>
        <v>1+0.0611162421841566i</v>
      </c>
      <c r="AX226" s="32">
        <f t="shared" si="241"/>
        <v>1.0018658568185226</v>
      </c>
      <c r="AY226" s="32">
        <f t="shared" si="242"/>
        <v>6.1040318570093566E-2</v>
      </c>
      <c r="AZ226" s="32" t="str">
        <f t="shared" si="217"/>
        <v>1+1.16120860149898i</v>
      </c>
      <c r="BA226" s="32">
        <f t="shared" si="243"/>
        <v>1.5324507875280098</v>
      </c>
      <c r="BB226" s="32">
        <f t="shared" si="244"/>
        <v>0.85985215647665014</v>
      </c>
      <c r="BC226" s="60" t="str">
        <f t="shared" si="245"/>
        <v>-0.651869578859384+0.634612097353296i</v>
      </c>
      <c r="BD226" s="51">
        <f t="shared" si="246"/>
        <v>-0.82144642584628036</v>
      </c>
      <c r="BE226" s="63">
        <f t="shared" si="247"/>
        <v>135.76854693713409</v>
      </c>
      <c r="BF226" s="60" t="str">
        <f t="shared" si="248"/>
        <v>3.04156961059878+6.29111900614596i</v>
      </c>
      <c r="BG226" s="66">
        <f t="shared" si="249"/>
        <v>16.886807122977633</v>
      </c>
      <c r="BH226" s="63">
        <f t="shared" si="250"/>
        <v>64.197609270131508</v>
      </c>
      <c r="BI226" s="60" t="e">
        <f t="shared" si="203"/>
        <v>#NUM!</v>
      </c>
      <c r="BJ226" s="66" t="e">
        <f t="shared" si="251"/>
        <v>#NUM!</v>
      </c>
      <c r="BK226" s="63" t="e">
        <f t="shared" si="204"/>
        <v>#NUM!</v>
      </c>
      <c r="BL226" s="51">
        <f t="shared" si="252"/>
        <v>16.886807122977633</v>
      </c>
      <c r="BM226" s="63">
        <f t="shared" si="253"/>
        <v>64.197609270131508</v>
      </c>
    </row>
    <row r="227" spans="14:65" x14ac:dyDescent="0.3">
      <c r="N227" s="11">
        <v>9</v>
      </c>
      <c r="O227" s="52">
        <f t="shared" si="254"/>
        <v>1230.2687708123824</v>
      </c>
      <c r="P227" s="50" t="str">
        <f t="shared" si="206"/>
        <v>23.3035714285714</v>
      </c>
      <c r="Q227" s="18" t="str">
        <f t="shared" si="207"/>
        <v>1+2.9318810992352i</v>
      </c>
      <c r="R227" s="18">
        <f t="shared" si="218"/>
        <v>3.0977292941851142</v>
      </c>
      <c r="S227" s="18">
        <f t="shared" si="219"/>
        <v>1.242091884767536</v>
      </c>
      <c r="T227" s="18" t="str">
        <f t="shared" si="208"/>
        <v>1+0.013682111796431i</v>
      </c>
      <c r="U227" s="18">
        <f t="shared" si="220"/>
        <v>1.0000935957115265</v>
      </c>
      <c r="V227" s="18">
        <f t="shared" si="221"/>
        <v>1.368125812770145E-2</v>
      </c>
      <c r="W227" s="32" t="str">
        <f t="shared" si="209"/>
        <v>1-0.0188955718469228i</v>
      </c>
      <c r="X227" s="18">
        <f t="shared" si="222"/>
        <v>1.0001785053856247</v>
      </c>
      <c r="Y227" s="18">
        <f t="shared" si="223"/>
        <v>-1.8893323486969354E-2</v>
      </c>
      <c r="Z227" s="32" t="str">
        <f t="shared" si="210"/>
        <v>0.999993945755006+0.00927388224574752i</v>
      </c>
      <c r="AA227" s="18">
        <f t="shared" si="224"/>
        <v>1.0000369475367268</v>
      </c>
      <c r="AB227" s="18">
        <f t="shared" si="225"/>
        <v>9.2736725349193763E-3</v>
      </c>
      <c r="AC227" s="68" t="str">
        <f t="shared" si="226"/>
        <v>2.32564243088264-7.15614408936732i</v>
      </c>
      <c r="AD227" s="66">
        <f t="shared" si="227"/>
        <v>17.529622785708064</v>
      </c>
      <c r="AE227" s="63">
        <f t="shared" si="228"/>
        <v>-71.996594409099217</v>
      </c>
      <c r="AF227" s="51" t="e">
        <f t="shared" si="229"/>
        <v>#NUM!</v>
      </c>
      <c r="AG227" s="51" t="str">
        <f t="shared" si="211"/>
        <v>1-4.10463353892929i</v>
      </c>
      <c r="AH227" s="51">
        <f t="shared" si="230"/>
        <v>4.2246912891835295</v>
      </c>
      <c r="AI227" s="51">
        <f t="shared" si="231"/>
        <v>-1.3318246146248416</v>
      </c>
      <c r="AJ227" s="51" t="str">
        <f t="shared" si="212"/>
        <v>1+0.013682111796431i</v>
      </c>
      <c r="AK227" s="51">
        <f t="shared" si="232"/>
        <v>1.0000935957115265</v>
      </c>
      <c r="AL227" s="51">
        <f t="shared" si="233"/>
        <v>1.368125812770145E-2</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-0.000170731707317073</v>
      </c>
      <c r="AT227" s="32" t="str">
        <f t="shared" si="215"/>
        <v>0.00029374025325671i</v>
      </c>
      <c r="AU227" s="32">
        <f t="shared" si="239"/>
        <v>2.9374025325671E-4</v>
      </c>
      <c r="AV227" s="32">
        <f t="shared" si="240"/>
        <v>1.5707963267948966</v>
      </c>
      <c r="AW227" s="32" t="str">
        <f t="shared" si="216"/>
        <v>1+0.0625398223415808i</v>
      </c>
      <c r="AX227" s="32">
        <f t="shared" si="241"/>
        <v>1.0019537062052899</v>
      </c>
      <c r="AY227" s="32">
        <f t="shared" si="242"/>
        <v>6.2458477288428266E-2</v>
      </c>
      <c r="AZ227" s="32" t="str">
        <f t="shared" si="217"/>
        <v>1+1.18825662449004i</v>
      </c>
      <c r="BA227" s="32">
        <f t="shared" si="243"/>
        <v>1.5530466205637437</v>
      </c>
      <c r="BB227" s="32">
        <f t="shared" si="244"/>
        <v>0.8712172717942297</v>
      </c>
      <c r="BC227" s="60" t="str">
        <f t="shared" si="245"/>
        <v>-0.65175527451199+0.621994267424874i</v>
      </c>
      <c r="BD227" s="51">
        <f t="shared" si="246"/>
        <v>-0.90624889648180329</v>
      </c>
      <c r="BE227" s="63">
        <f t="shared" si="247"/>
        <v>136.33846556927068</v>
      </c>
      <c r="BF227" s="60" t="str">
        <f t="shared" si="248"/>
        <v>2.93533087949622+6.110590915502i</v>
      </c>
      <c r="BG227" s="66">
        <f t="shared" si="249"/>
        <v>16.623373889226258</v>
      </c>
      <c r="BH227" s="63">
        <f t="shared" si="250"/>
        <v>64.341871160171465</v>
      </c>
      <c r="BI227" s="60" t="e">
        <f t="shared" si="203"/>
        <v>#NUM!</v>
      </c>
      <c r="BJ227" s="66" t="e">
        <f t="shared" si="251"/>
        <v>#NUM!</v>
      </c>
      <c r="BK227" s="63" t="e">
        <f t="shared" si="204"/>
        <v>#NUM!</v>
      </c>
      <c r="BL227" s="51">
        <f t="shared" si="252"/>
        <v>16.623373889226258</v>
      </c>
      <c r="BM227" s="63">
        <f t="shared" si="253"/>
        <v>64.341871160171465</v>
      </c>
    </row>
    <row r="228" spans="14:65" x14ac:dyDescent="0.3">
      <c r="N228" s="11">
        <v>10</v>
      </c>
      <c r="O228" s="52">
        <f t="shared" si="254"/>
        <v>1258.925411794168</v>
      </c>
      <c r="P228" s="50" t="str">
        <f t="shared" si="206"/>
        <v>23.3035714285714</v>
      </c>
      <c r="Q228" s="18" t="str">
        <f t="shared" si="207"/>
        <v>1+3.00017338304778i</v>
      </c>
      <c r="R228" s="18">
        <f t="shared" si="218"/>
        <v>3.1624421462452657</v>
      </c>
      <c r="S228" s="18">
        <f t="shared" si="219"/>
        <v>1.2490631098012273</v>
      </c>
      <c r="T228" s="18" t="str">
        <f t="shared" si="208"/>
        <v>1+0.0140008091208896i</v>
      </c>
      <c r="U228" s="18">
        <f t="shared" si="220"/>
        <v>1.0000980065253802</v>
      </c>
      <c r="V228" s="18">
        <f t="shared" si="221"/>
        <v>1.3999894403206897E-2</v>
      </c>
      <c r="W228" s="32" t="str">
        <f t="shared" si="209"/>
        <v>1-0.0193357062560937i</v>
      </c>
      <c r="X228" s="18">
        <f t="shared" si="222"/>
        <v>1.0001869172991726</v>
      </c>
      <c r="Y228" s="18">
        <f t="shared" si="223"/>
        <v>-1.9333297119314204E-2</v>
      </c>
      <c r="Z228" s="32" t="str">
        <f t="shared" si="210"/>
        <v>0.99999366042723+0.00948989871331034i</v>
      </c>
      <c r="AA228" s="18">
        <f t="shared" si="224"/>
        <v>1.0000386887877084</v>
      </c>
      <c r="AB228" s="18">
        <f t="shared" si="225"/>
        <v>9.48967400457555E-3</v>
      </c>
      <c r="AC228" s="68" t="str">
        <f t="shared" si="226"/>
        <v>2.22678634366442-7.02624815245526i</v>
      </c>
      <c r="AD228" s="66">
        <f t="shared" si="227"/>
        <v>17.350136491428529</v>
      </c>
      <c r="AE228" s="63">
        <f t="shared" si="228"/>
        <v>-72.415344272589834</v>
      </c>
      <c r="AF228" s="51" t="e">
        <f t="shared" si="229"/>
        <v>#NUM!</v>
      </c>
      <c r="AG228" s="51" t="str">
        <f t="shared" si="211"/>
        <v>1-4.2002427362669i</v>
      </c>
      <c r="AH228" s="51">
        <f t="shared" si="230"/>
        <v>4.3176427646996061</v>
      </c>
      <c r="AI228" s="51">
        <f t="shared" si="231"/>
        <v>-1.3370661675457078</v>
      </c>
      <c r="AJ228" s="51" t="str">
        <f t="shared" si="212"/>
        <v>1+0.0140008091208896i</v>
      </c>
      <c r="AK228" s="51">
        <f t="shared" si="232"/>
        <v>1.0000980065253802</v>
      </c>
      <c r="AL228" s="51">
        <f t="shared" si="233"/>
        <v>1.3999894403206897E-2</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-0.000170731707317073</v>
      </c>
      <c r="AT228" s="32" t="str">
        <f t="shared" si="215"/>
        <v>0.000300582342708365i</v>
      </c>
      <c r="AU228" s="32">
        <f t="shared" si="239"/>
        <v>3.0058234270836503E-4</v>
      </c>
      <c r="AV228" s="32">
        <f t="shared" si="240"/>
        <v>1.5707963267948966</v>
      </c>
      <c r="AW228" s="32" t="str">
        <f t="shared" si="216"/>
        <v>1+0.063996561940623i</v>
      </c>
      <c r="AX228" s="32">
        <f t="shared" si="241"/>
        <v>1.0020456875513311</v>
      </c>
      <c r="AY228" s="32">
        <f t="shared" si="242"/>
        <v>6.3909408753452149E-2</v>
      </c>
      <c r="AZ228" s="32" t="str">
        <f t="shared" si="217"/>
        <v>1+1.21593467687184i</v>
      </c>
      <c r="BA228" s="32">
        <f t="shared" si="243"/>
        <v>1.5743243434627521</v>
      </c>
      <c r="BB228" s="32">
        <f t="shared" si="244"/>
        <v>0.88253778457136933</v>
      </c>
      <c r="BC228" s="60" t="str">
        <f t="shared" si="245"/>
        <v>-0.651635626123294+0.60970555585677i</v>
      </c>
      <c r="BD228" s="51">
        <f t="shared" si="246"/>
        <v>-0.98885188193052387</v>
      </c>
      <c r="BE228" s="63">
        <f t="shared" si="247"/>
        <v>136.9039509240161</v>
      </c>
      <c r="BF228" s="60" t="str">
        <f t="shared" si="248"/>
        <v>2.83288922208377+5.936237619561i</v>
      </c>
      <c r="BG228" s="66">
        <f t="shared" si="249"/>
        <v>16.361284609498004</v>
      </c>
      <c r="BH228" s="63">
        <f t="shared" si="250"/>
        <v>64.488606651426309</v>
      </c>
      <c r="BI228" s="60" t="e">
        <f t="shared" si="203"/>
        <v>#NUM!</v>
      </c>
      <c r="BJ228" s="66" t="e">
        <f t="shared" si="251"/>
        <v>#NUM!</v>
      </c>
      <c r="BK228" s="63" t="e">
        <f t="shared" si="204"/>
        <v>#NUM!</v>
      </c>
      <c r="BL228" s="51">
        <f t="shared" si="252"/>
        <v>16.361284609498004</v>
      </c>
      <c r="BM228" s="63">
        <f t="shared" si="253"/>
        <v>64.488606651426309</v>
      </c>
    </row>
    <row r="229" spans="14:65" x14ac:dyDescent="0.3">
      <c r="N229" s="11">
        <v>11</v>
      </c>
      <c r="O229" s="52">
        <f t="shared" si="254"/>
        <v>1288.2495516931347</v>
      </c>
      <c r="P229" s="50" t="str">
        <f t="shared" si="206"/>
        <v>23.3035714285714</v>
      </c>
      <c r="Q229" s="18" t="str">
        <f t="shared" si="207"/>
        <v>1+3.07005639850003i</v>
      </c>
      <c r="R229" s="18">
        <f t="shared" si="218"/>
        <v>3.2288149977926848</v>
      </c>
      <c r="S229" s="18">
        <f t="shared" si="219"/>
        <v>1.255907098375159</v>
      </c>
      <c r="T229" s="18" t="str">
        <f t="shared" si="208"/>
        <v>1+0.0143269298596668i</v>
      </c>
      <c r="U229" s="18">
        <f t="shared" si="220"/>
        <v>1.0001026251936367</v>
      </c>
      <c r="V229" s="18">
        <f t="shared" si="221"/>
        <v>1.4325949727442885E-2</v>
      </c>
      <c r="W229" s="32" t="str">
        <f t="shared" si="209"/>
        <v>1-0.0197860927126598i</v>
      </c>
      <c r="X229" s="18">
        <f t="shared" si="222"/>
        <v>1.0001957255781659</v>
      </c>
      <c r="Y229" s="18">
        <f t="shared" si="223"/>
        <v>-1.9783511303373656E-2</v>
      </c>
      <c r="Z229" s="32" t="str">
        <f t="shared" si="210"/>
        <v>0.99999336165237+0.00971094685078461i</v>
      </c>
      <c r="AA229" s="18">
        <f t="shared" si="224"/>
        <v>1.0000405120981581</v>
      </c>
      <c r="AB229" s="18">
        <f t="shared" si="225"/>
        <v>9.7107060715601809E-3</v>
      </c>
      <c r="AC229" s="68" t="str">
        <f t="shared" si="226"/>
        <v>2.13150580507965-6.89739542907495i</v>
      </c>
      <c r="AD229" s="66">
        <f t="shared" si="227"/>
        <v>17.169825809621923</v>
      </c>
      <c r="AE229" s="63">
        <f t="shared" si="228"/>
        <v>-72.827253916144215</v>
      </c>
      <c r="AF229" s="51" t="e">
        <f t="shared" si="229"/>
        <v>#NUM!</v>
      </c>
      <c r="AG229" s="51" t="str">
        <f t="shared" si="211"/>
        <v>1-4.29807895790005i</v>
      </c>
      <c r="AH229" s="51">
        <f t="shared" si="230"/>
        <v>4.4128769219572828</v>
      </c>
      <c r="AI229" s="51">
        <f t="shared" si="231"/>
        <v>-1.3422010801845321</v>
      </c>
      <c r="AJ229" s="51" t="str">
        <f t="shared" si="212"/>
        <v>1+0.0143269298596668i</v>
      </c>
      <c r="AK229" s="51">
        <f t="shared" si="232"/>
        <v>1.0001026251936367</v>
      </c>
      <c r="AL229" s="51">
        <f t="shared" si="233"/>
        <v>1.4325949727442885E-2</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-0.000170731707317073</v>
      </c>
      <c r="AT229" s="32" t="str">
        <f t="shared" si="215"/>
        <v>0.000307583804896802i</v>
      </c>
      <c r="AU229" s="32">
        <f t="shared" si="239"/>
        <v>3.0758380489680199E-4</v>
      </c>
      <c r="AV229" s="32">
        <f t="shared" si="240"/>
        <v>1.5707963267948966</v>
      </c>
      <c r="AW229" s="32" t="str">
        <f t="shared" si="216"/>
        <v>1+0.0654872333639007i</v>
      </c>
      <c r="AX229" s="32">
        <f t="shared" si="241"/>
        <v>1.002141994795976</v>
      </c>
      <c r="AY229" s="32">
        <f t="shared" si="242"/>
        <v>6.5393857818420095E-2</v>
      </c>
      <c r="AZ229" s="32" t="str">
        <f t="shared" si="217"/>
        <v>1+1.24425743391411i</v>
      </c>
      <c r="BA229" s="32">
        <f t="shared" si="243"/>
        <v>1.5963008995332069</v>
      </c>
      <c r="BB229" s="32">
        <f t="shared" si="244"/>
        <v>0.89380809171151421</v>
      </c>
      <c r="BC229" s="60" t="str">
        <f t="shared" si="245"/>
        <v>-0.651510385954807+0.597739399401619i</v>
      </c>
      <c r="BD229" s="51">
        <f t="shared" si="246"/>
        <v>-1.0692756988897794</v>
      </c>
      <c r="BE229" s="63">
        <f t="shared" si="247"/>
        <v>137.46463929063773</v>
      </c>
      <c r="BF229" s="60" t="str">
        <f t="shared" si="248"/>
        <v>2.73414683147838+5.76780975782892i</v>
      </c>
      <c r="BG229" s="66">
        <f t="shared" si="249"/>
        <v>16.100550110732151</v>
      </c>
      <c r="BH229" s="63">
        <f t="shared" si="250"/>
        <v>64.637385374493533</v>
      </c>
      <c r="BI229" s="60" t="e">
        <f t="shared" si="203"/>
        <v>#NUM!</v>
      </c>
      <c r="BJ229" s="66" t="e">
        <f t="shared" si="251"/>
        <v>#NUM!</v>
      </c>
      <c r="BK229" s="63" t="e">
        <f t="shared" si="204"/>
        <v>#NUM!</v>
      </c>
      <c r="BL229" s="51">
        <f t="shared" si="252"/>
        <v>16.100550110732151</v>
      </c>
      <c r="BM229" s="63">
        <f t="shared" si="253"/>
        <v>64.637385374493533</v>
      </c>
    </row>
    <row r="230" spans="14:65" x14ac:dyDescent="0.3">
      <c r="N230" s="11">
        <v>12</v>
      </c>
      <c r="O230" s="52">
        <f t="shared" si="254"/>
        <v>1318.2567385564089</v>
      </c>
      <c r="P230" s="50" t="str">
        <f t="shared" si="206"/>
        <v>23.3035714285714</v>
      </c>
      <c r="Q230" s="18" t="str">
        <f t="shared" si="207"/>
        <v>1+3.14156719849178i</v>
      </c>
      <c r="R230" s="18">
        <f t="shared" si="218"/>
        <v>3.2968840535632262</v>
      </c>
      <c r="S230" s="18">
        <f t="shared" si="219"/>
        <v>1.262624913801107</v>
      </c>
      <c r="T230" s="18" t="str">
        <f t="shared" si="208"/>
        <v>1+0.014660646926295i</v>
      </c>
      <c r="U230" s="18">
        <f t="shared" si="220"/>
        <v>1.0001074615101606</v>
      </c>
      <c r="V230" s="18">
        <f t="shared" si="221"/>
        <v>1.4659596701790048E-2</v>
      </c>
      <c r="W230" s="32" t="str">
        <f t="shared" si="209"/>
        <v>1-0.0202469700174821i</v>
      </c>
      <c r="X230" s="18">
        <f t="shared" si="222"/>
        <v>1.0002049488954197</v>
      </c>
      <c r="Y230" s="18">
        <f t="shared" si="223"/>
        <v>-2.0244204018207441E-2</v>
      </c>
      <c r="Z230" s="32" t="str">
        <f t="shared" si="210"/>
        <v>0.999993048796685+0.00993714386081876i</v>
      </c>
      <c r="AA230" s="18">
        <f t="shared" si="224"/>
        <v>1.0000424213351151</v>
      </c>
      <c r="AB230" s="18">
        <f t="shared" si="225"/>
        <v>9.936885861818243E-3</v>
      </c>
      <c r="AC230" s="68" t="str">
        <f t="shared" si="226"/>
        <v>2.03970589924454-6.76966250588368i</v>
      </c>
      <c r="AD230" s="66">
        <f t="shared" si="227"/>
        <v>16.98872108529789</v>
      </c>
      <c r="AE230" s="63">
        <f t="shared" si="228"/>
        <v>-73.232394719726813</v>
      </c>
      <c r="AF230" s="51" t="e">
        <f t="shared" si="229"/>
        <v>#NUM!</v>
      </c>
      <c r="AG230" s="51" t="str">
        <f t="shared" si="211"/>
        <v>1-4.3981940778885i</v>
      </c>
      <c r="AH230" s="51">
        <f t="shared" si="230"/>
        <v>4.5104446728425209</v>
      </c>
      <c r="AI230" s="51">
        <f t="shared" si="231"/>
        <v>-1.3472309915092067</v>
      </c>
      <c r="AJ230" s="51" t="str">
        <f t="shared" si="212"/>
        <v>1+0.014660646926295i</v>
      </c>
      <c r="AK230" s="51">
        <f t="shared" si="232"/>
        <v>1.0001074615101606</v>
      </c>
      <c r="AL230" s="51">
        <f t="shared" si="233"/>
        <v>1.4659596701790048E-2</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-0.000170731707317073</v>
      </c>
      <c r="AT230" s="32" t="str">
        <f t="shared" si="215"/>
        <v>0.000314748352089948i</v>
      </c>
      <c r="AU230" s="32">
        <f t="shared" si="239"/>
        <v>3.1474835208994802E-4</v>
      </c>
      <c r="AV230" s="32">
        <f t="shared" si="240"/>
        <v>1.5707963267948966</v>
      </c>
      <c r="AW230" s="32" t="str">
        <f t="shared" si="216"/>
        <v>1+0.067012626985134i</v>
      </c>
      <c r="AX230" s="32">
        <f t="shared" si="241"/>
        <v>1.0022428309424063</v>
      </c>
      <c r="AY230" s="32">
        <f t="shared" si="242"/>
        <v>6.6912585374204608E-2</v>
      </c>
      <c r="AZ230" s="32" t="str">
        <f t="shared" si="217"/>
        <v>1+1.27323991271755i</v>
      </c>
      <c r="BA230" s="32">
        <f t="shared" si="243"/>
        <v>1.6189934760019864</v>
      </c>
      <c r="BB230" s="32">
        <f t="shared" si="244"/>
        <v>0.90502271715678162</v>
      </c>
      <c r="BC230" s="60" t="str">
        <f t="shared" si="245"/>
        <v>-0.651379294986022+0.586089402478057i</v>
      </c>
      <c r="BD230" s="51">
        <f t="shared" si="246"/>
        <v>-1.1475428280557602</v>
      </c>
      <c r="BE230" s="63">
        <f t="shared" si="247"/>
        <v>138.02017331829487</v>
      </c>
      <c r="BF230" s="60" t="str">
        <f t="shared" si="248"/>
        <v>2.63900526242273+5.60506800209502i</v>
      </c>
      <c r="BG230" s="66">
        <f t="shared" si="249"/>
        <v>15.841178257242127</v>
      </c>
      <c r="BH230" s="63">
        <f t="shared" si="250"/>
        <v>64.78777859856811</v>
      </c>
      <c r="BI230" s="60" t="e">
        <f t="shared" si="203"/>
        <v>#NUM!</v>
      </c>
      <c r="BJ230" s="66" t="e">
        <f t="shared" si="251"/>
        <v>#NUM!</v>
      </c>
      <c r="BK230" s="63" t="e">
        <f t="shared" si="204"/>
        <v>#NUM!</v>
      </c>
      <c r="BL230" s="51">
        <f t="shared" si="252"/>
        <v>15.841178257242127</v>
      </c>
      <c r="BM230" s="63">
        <f t="shared" si="253"/>
        <v>64.78777859856811</v>
      </c>
    </row>
    <row r="231" spans="14:65" x14ac:dyDescent="0.3">
      <c r="N231" s="11">
        <v>13</v>
      </c>
      <c r="O231" s="52">
        <f t="shared" si="254"/>
        <v>1348.9628825916541</v>
      </c>
      <c r="P231" s="50" t="str">
        <f t="shared" si="206"/>
        <v>23.3035714285714</v>
      </c>
      <c r="Q231" s="18" t="str">
        <f t="shared" si="207"/>
        <v>1+3.21474369899571i</v>
      </c>
      <c r="R231" s="18">
        <f t="shared" si="218"/>
        <v>3.3666863605380026</v>
      </c>
      <c r="S231" s="18">
        <f t="shared" si="219"/>
        <v>1.2692176917592932</v>
      </c>
      <c r="T231" s="18" t="str">
        <f t="shared" si="208"/>
        <v>1+0.01500213726198i</v>
      </c>
      <c r="U231" s="18">
        <f t="shared" si="220"/>
        <v>1.0001125257301937</v>
      </c>
      <c r="V231" s="18">
        <f t="shared" si="221"/>
        <v>1.5001011932986334E-2</v>
      </c>
      <c r="W231" s="32" t="str">
        <f t="shared" si="209"/>
        <v>1-0.0207185825338079i</v>
      </c>
      <c r="X231" s="18">
        <f t="shared" si="222"/>
        <v>1.0002146068030651</v>
      </c>
      <c r="Y231" s="18">
        <f t="shared" si="223"/>
        <v>-2.0715618746531075E-2</v>
      </c>
      <c r="Z231" s="32" t="str">
        <f t="shared" si="210"/>
        <v>0.999992721196566+0.0101686096760615i</v>
      </c>
      <c r="AA231" s="18">
        <f t="shared" si="224"/>
        <v>1.000044420547836</v>
      </c>
      <c r="AB231" s="18">
        <f t="shared" si="225"/>
        <v>1.0168333225810062E-2</v>
      </c>
      <c r="AC231" s="68" t="str">
        <f t="shared" si="226"/>
        <v>1.95129140631744-6.64312005917487i</v>
      </c>
      <c r="AD231" s="66">
        <f t="shared" si="227"/>
        <v>16.806851861405619</v>
      </c>
      <c r="AE231" s="63">
        <f t="shared" si="228"/>
        <v>-73.630842451658168</v>
      </c>
      <c r="AF231" s="51" t="e">
        <f t="shared" si="229"/>
        <v>#NUM!</v>
      </c>
      <c r="AG231" s="51" t="str">
        <f t="shared" si="211"/>
        <v>1-4.50064117859401i</v>
      </c>
      <c r="AH231" s="51">
        <f t="shared" si="230"/>
        <v>4.610398140991304</v>
      </c>
      <c r="AI231" s="51">
        <f t="shared" si="231"/>
        <v>-1.3521575499349334</v>
      </c>
      <c r="AJ231" s="51" t="str">
        <f t="shared" si="212"/>
        <v>1+0.01500213726198i</v>
      </c>
      <c r="AK231" s="51">
        <f t="shared" si="232"/>
        <v>1.0001125257301937</v>
      </c>
      <c r="AL231" s="51">
        <f t="shared" si="233"/>
        <v>1.5001011932986334E-2</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-0.000170731707317073</v>
      </c>
      <c r="AT231" s="32" t="str">
        <f t="shared" si="215"/>
        <v>0.000322079783025559i</v>
      </c>
      <c r="AU231" s="32">
        <f t="shared" si="239"/>
        <v>3.2207978302555902E-4</v>
      </c>
      <c r="AV231" s="32">
        <f t="shared" si="240"/>
        <v>1.5707963267948966</v>
      </c>
      <c r="AW231" s="32" t="str">
        <f t="shared" si="216"/>
        <v>1+0.0685735515882117i</v>
      </c>
      <c r="AX231" s="32">
        <f t="shared" si="241"/>
        <v>1.0023484084775218</v>
      </c>
      <c r="AY231" s="32">
        <f t="shared" si="242"/>
        <v>6.8466368630515473E-2</v>
      </c>
      <c r="AZ231" s="32" t="str">
        <f t="shared" si="217"/>
        <v>1+1.30289748017603i</v>
      </c>
      <c r="BA231" s="32">
        <f t="shared" si="243"/>
        <v>1.6424195090929263</v>
      </c>
      <c r="BB231" s="32">
        <f t="shared" si="244"/>
        <v>0.91617632415229344</v>
      </c>
      <c r="BC231" s="60" t="str">
        <f t="shared" si="245"/>
        <v>-0.65124208242006+0.574749333545391i</v>
      </c>
      <c r="BD231" s="51">
        <f t="shared" si="246"/>
        <v>-1.2236778353078921</v>
      </c>
      <c r="BE231" s="63">
        <f t="shared" si="247"/>
        <v>138.57020270262063</v>
      </c>
      <c r="BF231" s="60" t="str">
        <f t="shared" si="248"/>
        <v>2.54736574781424+5.44778277643731i</v>
      </c>
      <c r="BG231" s="66">
        <f t="shared" si="249"/>
        <v>15.583174026097726</v>
      </c>
      <c r="BH231" s="63">
        <f t="shared" si="250"/>
        <v>64.939360250962437</v>
      </c>
      <c r="BI231" s="60" t="e">
        <f t="shared" si="203"/>
        <v>#NUM!</v>
      </c>
      <c r="BJ231" s="66" t="e">
        <f t="shared" si="251"/>
        <v>#NUM!</v>
      </c>
      <c r="BK231" s="63" t="e">
        <f t="shared" si="204"/>
        <v>#NUM!</v>
      </c>
      <c r="BL231" s="51">
        <f t="shared" si="252"/>
        <v>15.583174026097726</v>
      </c>
      <c r="BM231" s="63">
        <f t="shared" si="253"/>
        <v>64.939360250962437</v>
      </c>
    </row>
    <row r="232" spans="14:65" x14ac:dyDescent="0.3">
      <c r="N232" s="11">
        <v>14</v>
      </c>
      <c r="O232" s="52">
        <f t="shared" si="254"/>
        <v>1380.3842646028863</v>
      </c>
      <c r="P232" s="50" t="str">
        <f t="shared" si="206"/>
        <v>23.3035714285714</v>
      </c>
      <c r="Q232" s="18" t="str">
        <f t="shared" si="207"/>
        <v>1+3.28962469916102i</v>
      </c>
      <c r="R232" s="18">
        <f t="shared" si="218"/>
        <v>3.4382598303982537</v>
      </c>
      <c r="S232" s="18">
        <f t="shared" si="219"/>
        <v>1.275686634583352</v>
      </c>
      <c r="T232" s="18" t="str">
        <f t="shared" si="208"/>
        <v>1+0.0153515819294181i</v>
      </c>
      <c r="U232" s="18">
        <f t="shared" si="220"/>
        <v>1.0001178285920793</v>
      </c>
      <c r="V232" s="18">
        <f t="shared" si="221"/>
        <v>1.5350376125349141E-2</v>
      </c>
      <c r="W232" s="32" t="str">
        <f t="shared" si="209"/>
        <v>1-0.0212011803168361i</v>
      </c>
      <c r="X232" s="18">
        <f t="shared" si="222"/>
        <v>1.0002247197739251</v>
      </c>
      <c r="Y232" s="18">
        <f t="shared" si="223"/>
        <v>-2.1198004600086154E-2</v>
      </c>
      <c r="Z232" s="32" t="str">
        <f t="shared" si="210"/>
        <v>0.999992378157128+0.0104054670227521i</v>
      </c>
      <c r="AA232" s="18">
        <f t="shared" si="224"/>
        <v>1.0000465139763801</v>
      </c>
      <c r="AB232" s="18">
        <f t="shared" si="225"/>
        <v>1.040517080170943E-2</v>
      </c>
      <c r="AC232" s="68" t="str">
        <f t="shared" si="226"/>
        <v>1.86616708506526-6.517833052642i</v>
      </c>
      <c r="AD232" s="66">
        <f t="shared" si="227"/>
        <v>16.624246877932926</v>
      </c>
      <c r="AE232" s="63">
        <f t="shared" si="228"/>
        <v>-74.022676946687398</v>
      </c>
      <c r="AF232" s="51" t="e">
        <f t="shared" si="229"/>
        <v>#NUM!</v>
      </c>
      <c r="AG232" s="51" t="str">
        <f t="shared" si="211"/>
        <v>1-4.60547457882544i</v>
      </c>
      <c r="AH232" s="51">
        <f t="shared" si="230"/>
        <v>4.712790690897207</v>
      </c>
      <c r="AI232" s="51">
        <f t="shared" si="231"/>
        <v>-1.3569824105756974</v>
      </c>
      <c r="AJ232" s="51" t="str">
        <f t="shared" si="212"/>
        <v>1+0.0153515819294181i</v>
      </c>
      <c r="AK232" s="51">
        <f t="shared" si="232"/>
        <v>1.0001178285920793</v>
      </c>
      <c r="AL232" s="51">
        <f t="shared" si="233"/>
        <v>1.5350376125349141E-2</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-0.000170731707317073</v>
      </c>
      <c r="AT232" s="32" t="str">
        <f t="shared" si="215"/>
        <v>0.000329581984925361i</v>
      </c>
      <c r="AU232" s="32">
        <f t="shared" si="239"/>
        <v>3.2958198492536101E-4</v>
      </c>
      <c r="AV232" s="32">
        <f t="shared" si="240"/>
        <v>1.5707963267948966</v>
      </c>
      <c r="AW232" s="32" t="str">
        <f t="shared" si="216"/>
        <v>1+0.0701708347960199i</v>
      </c>
      <c r="AX232" s="32">
        <f t="shared" si="241"/>
        <v>1.0024589498108989</v>
      </c>
      <c r="AY232" s="32">
        <f t="shared" si="242"/>
        <v>7.0056001397248699E-2</v>
      </c>
      <c r="AZ232" s="32" t="str">
        <f t="shared" si="217"/>
        <v>1+1.33324586112438i</v>
      </c>
      <c r="BA232" s="32">
        <f t="shared" si="243"/>
        <v>1.6665966897258886</v>
      </c>
      <c r="BB232" s="32">
        <f t="shared" si="244"/>
        <v>0.92726372668418422</v>
      </c>
      <c r="BC232" s="60" t="str">
        <f t="shared" si="245"/>
        <v>-0.651098465169642+0.563713121549225i</v>
      </c>
      <c r="BD232" s="51">
        <f t="shared" si="246"/>
        <v>-1.297707286448722</v>
      </c>
      <c r="BE232" s="63">
        <f t="shared" si="247"/>
        <v>139.11438482495109</v>
      </c>
      <c r="BF232" s="60" t="str">
        <f t="shared" si="248"/>
        <v>2.45912949100544+5.29573396966172i</v>
      </c>
      <c r="BG232" s="66">
        <f t="shared" si="249"/>
        <v>15.326539591484195</v>
      </c>
      <c r="BH232" s="63">
        <f t="shared" si="250"/>
        <v>65.091707878263691</v>
      </c>
      <c r="BI232" s="60" t="e">
        <f t="shared" si="203"/>
        <v>#NUM!</v>
      </c>
      <c r="BJ232" s="66" t="e">
        <f t="shared" si="251"/>
        <v>#NUM!</v>
      </c>
      <c r="BK232" s="63" t="e">
        <f t="shared" si="204"/>
        <v>#NUM!</v>
      </c>
      <c r="BL232" s="51">
        <f t="shared" si="252"/>
        <v>15.326539591484195</v>
      </c>
      <c r="BM232" s="63">
        <f t="shared" si="253"/>
        <v>65.091707878263691</v>
      </c>
    </row>
    <row r="233" spans="14:65" x14ac:dyDescent="0.3">
      <c r="N233" s="11">
        <v>15</v>
      </c>
      <c r="O233" s="52">
        <f t="shared" si="254"/>
        <v>1412.5375446227545</v>
      </c>
      <c r="P233" s="50" t="str">
        <f t="shared" si="206"/>
        <v>23.3035714285714</v>
      </c>
      <c r="Q233" s="18" t="str">
        <f t="shared" si="207"/>
        <v>1+3.36624990188516i</v>
      </c>
      <c r="R233" s="18">
        <f t="shared" si="218"/>
        <v>3.5116432623405598</v>
      </c>
      <c r="S233" s="18">
        <f t="shared" si="219"/>
        <v>1.2820330057434182</v>
      </c>
      <c r="T233" s="18" t="str">
        <f t="shared" si="208"/>
        <v>1+0.0157091662087974i</v>
      </c>
      <c r="U233" s="18">
        <f t="shared" si="220"/>
        <v>1.0001233813400103</v>
      </c>
      <c r="V233" s="18">
        <f t="shared" si="221"/>
        <v>1.5707874175067728E-2</v>
      </c>
      <c r="W233" s="32" t="str">
        <f t="shared" si="209"/>
        <v>1-0.021695019246299i</v>
      </c>
      <c r="X233" s="18">
        <f t="shared" si="222"/>
        <v>1.0002353092448282</v>
      </c>
      <c r="Y233" s="18">
        <f t="shared" si="223"/>
        <v>-2.1691616447727814E-2</v>
      </c>
      <c r="Z233" s="32" t="str">
        <f t="shared" si="210"/>
        <v>0.99999201895074+0.0106478414857907i</v>
      </c>
      <c r="AA233" s="18">
        <f t="shared" si="224"/>
        <v>1.0000487060606016</v>
      </c>
      <c r="AB233" s="18">
        <f t="shared" si="225"/>
        <v>1.0647524080053667E-2</v>
      </c>
      <c r="AC233" s="68" t="str">
        <f t="shared" si="226"/>
        <v>1.78423793261785-6.39386094235659i</v>
      </c>
      <c r="AD233" s="66">
        <f t="shared" si="227"/>
        <v>16.440934073343698</v>
      </c>
      <c r="AE233" s="63">
        <f t="shared" si="228"/>
        <v>-74.407981795537509</v>
      </c>
      <c r="AF233" s="51" t="e">
        <f t="shared" si="229"/>
        <v>#NUM!</v>
      </c>
      <c r="AG233" s="51" t="str">
        <f t="shared" si="211"/>
        <v>1-4.71274986263923i</v>
      </c>
      <c r="AH233" s="51">
        <f t="shared" si="230"/>
        <v>4.8176769576016696</v>
      </c>
      <c r="AI233" s="51">
        <f t="shared" si="231"/>
        <v>-1.3617072326706645</v>
      </c>
      <c r="AJ233" s="51" t="str">
        <f t="shared" si="212"/>
        <v>1+0.0157091662087974i</v>
      </c>
      <c r="AK233" s="51">
        <f t="shared" si="232"/>
        <v>1.0001233813400103</v>
      </c>
      <c r="AL233" s="51">
        <f t="shared" si="233"/>
        <v>1.5707874175067728E-2</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-0.000170731707317073</v>
      </c>
      <c r="AT233" s="32" t="str">
        <f t="shared" si="215"/>
        <v>0.000337258935556102i</v>
      </c>
      <c r="AU233" s="32">
        <f t="shared" si="239"/>
        <v>3.3725893555610199E-4</v>
      </c>
      <c r="AV233" s="32">
        <f t="shared" si="240"/>
        <v>1.5707963267948966</v>
      </c>
      <c r="AW233" s="32" t="str">
        <f t="shared" si="216"/>
        <v>1+0.0718053235092576i</v>
      </c>
      <c r="AX233" s="32">
        <f t="shared" si="241"/>
        <v>1.0025746877336716</v>
      </c>
      <c r="AY233" s="32">
        <f t="shared" si="242"/>
        <v>7.168229436552731E-2</v>
      </c>
      <c r="AZ233" s="32" t="str">
        <f t="shared" si="217"/>
        <v>1+1.3643011466759i</v>
      </c>
      <c r="BA233" s="32">
        <f t="shared" si="243"/>
        <v>1.6915429698417881</v>
      </c>
      <c r="BB233" s="32">
        <f t="shared" si="244"/>
        <v>0.93827990004028727</v>
      </c>
      <c r="BC233" s="60" t="str">
        <f t="shared" si="245"/>
        <v>-0.650948147322643+0.552974852435031i</v>
      </c>
      <c r="BD233" s="51">
        <f t="shared" si="246"/>
        <v>-1.3696596562227892</v>
      </c>
      <c r="BE233" s="63">
        <f t="shared" si="247"/>
        <v>139.65238534130603</v>
      </c>
      <c r="BF233" s="60" t="str">
        <f t="shared" si="248"/>
        <v>2.37419793446937+5.14871064216397i</v>
      </c>
      <c r="BG233" s="66">
        <f t="shared" si="249"/>
        <v>15.071274417120906</v>
      </c>
      <c r="BH233" s="63">
        <f t="shared" si="250"/>
        <v>65.24440354576852</v>
      </c>
      <c r="BI233" s="60" t="e">
        <f t="shared" si="203"/>
        <v>#NUM!</v>
      </c>
      <c r="BJ233" s="66" t="e">
        <f t="shared" si="251"/>
        <v>#NUM!</v>
      </c>
      <c r="BK233" s="63" t="e">
        <f t="shared" si="204"/>
        <v>#NUM!</v>
      </c>
      <c r="BL233" s="51">
        <f t="shared" si="252"/>
        <v>15.071274417120906</v>
      </c>
      <c r="BM233" s="63">
        <f t="shared" si="253"/>
        <v>65.24440354576852</v>
      </c>
    </row>
    <row r="234" spans="14:65" x14ac:dyDescent="0.3">
      <c r="N234" s="11">
        <v>16</v>
      </c>
      <c r="O234" s="52">
        <f t="shared" si="254"/>
        <v>1445.4397707459289</v>
      </c>
      <c r="P234" s="50" t="str">
        <f t="shared" si="206"/>
        <v>23.3035714285714</v>
      </c>
      <c r="Q234" s="18" t="str">
        <f t="shared" si="207"/>
        <v>1+3.44465993486486i</v>
      </c>
      <c r="R234" s="18">
        <f t="shared" si="218"/>
        <v>3.5868763662639922</v>
      </c>
      <c r="S234" s="18">
        <f t="shared" si="219"/>
        <v>1.2882581245335614</v>
      </c>
      <c r="T234" s="18" t="str">
        <f t="shared" si="208"/>
        <v>1+0.016075079696036i</v>
      </c>
      <c r="U234" s="18">
        <f t="shared" si="220"/>
        <v>1.0001291957478462</v>
      </c>
      <c r="V234" s="18">
        <f t="shared" si="221"/>
        <v>1.6073695266610434E-2</v>
      </c>
      <c r="W234" s="32" t="str">
        <f t="shared" si="209"/>
        <v>1-0.0222003611621339i</v>
      </c>
      <c r="X234" s="18">
        <f t="shared" si="222"/>
        <v>1.0002463976619607</v>
      </c>
      <c r="Y234" s="18">
        <f t="shared" si="223"/>
        <v>-2.2196715046281262E-2</v>
      </c>
      <c r="Z234" s="32" t="str">
        <f t="shared" si="210"/>
        <v>0.999991642815477+0.0108958615753259i</v>
      </c>
      <c r="AA234" s="18">
        <f t="shared" si="224"/>
        <v>1.0000510014495587</v>
      </c>
      <c r="AB234" s="18">
        <f t="shared" si="225"/>
        <v>1.0895521469880999E-2</v>
      </c>
      <c r="AC234" s="68" t="str">
        <f t="shared" si="226"/>
        <v>1.70540942209221-6.27125788715053i</v>
      </c>
      <c r="AD234" s="66">
        <f t="shared" si="227"/>
        <v>16.256940588161576</v>
      </c>
      <c r="AE234" s="63">
        <f t="shared" si="228"/>
        <v>-74.786844046280521</v>
      </c>
      <c r="AF234" s="51" t="e">
        <f t="shared" si="229"/>
        <v>#NUM!</v>
      </c>
      <c r="AG234" s="51" t="str">
        <f t="shared" si="211"/>
        <v>1-4.82252390881082i</v>
      </c>
      <c r="AH234" s="51">
        <f t="shared" si="230"/>
        <v>4.9251128769858656</v>
      </c>
      <c r="AI234" s="51">
        <f t="shared" si="231"/>
        <v>-1.366333677179236</v>
      </c>
      <c r="AJ234" s="51" t="str">
        <f t="shared" si="212"/>
        <v>1+0.016075079696036i</v>
      </c>
      <c r="AK234" s="51">
        <f t="shared" si="232"/>
        <v>1.0001291957478462</v>
      </c>
      <c r="AL234" s="51">
        <f t="shared" si="233"/>
        <v>1.6073695266610434E-2</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-0.000170731707317073</v>
      </c>
      <c r="AT234" s="32" t="str">
        <f t="shared" si="215"/>
        <v>0.000345114705338626i</v>
      </c>
      <c r="AU234" s="32">
        <f t="shared" si="239"/>
        <v>3.4511470533862598E-4</v>
      </c>
      <c r="AV234" s="32">
        <f t="shared" si="240"/>
        <v>1.5707963267948966</v>
      </c>
      <c r="AW234" s="32" t="str">
        <f t="shared" si="216"/>
        <v>1+0.0734778843554759i</v>
      </c>
      <c r="AX234" s="32">
        <f t="shared" si="241"/>
        <v>1.0026958658982077</v>
      </c>
      <c r="AY234" s="32">
        <f t="shared" si="242"/>
        <v>7.3346075387964643E-2</v>
      </c>
      <c r="AZ234" s="32" t="str">
        <f t="shared" si="217"/>
        <v>1+1.39607980275404i</v>
      </c>
      <c r="BA234" s="32">
        <f t="shared" si="243"/>
        <v>1.717276569355606</v>
      </c>
      <c r="BB234" s="32">
        <f t="shared" si="244"/>
        <v>0.94921999045173888</v>
      </c>
      <c r="BC234" s="60" t="str">
        <f t="shared" si="245"/>
        <v>-0.650790819586637+0.542528765726698i</v>
      </c>
      <c r="BD234" s="51">
        <f t="shared" si="246"/>
        <v>-1.4395652323658268</v>
      </c>
      <c r="BE234" s="63">
        <f t="shared" si="247"/>
        <v>140.18387871875422</v>
      </c>
      <c r="BF234" s="60" t="str">
        <f t="shared" si="248"/>
        <v>2.29247300553543+5.00651072904422i</v>
      </c>
      <c r="BG234" s="66">
        <f t="shared" si="249"/>
        <v>14.817375355795743</v>
      </c>
      <c r="BH234" s="63">
        <f t="shared" si="250"/>
        <v>65.397034672473708</v>
      </c>
      <c r="BI234" s="60" t="e">
        <f t="shared" si="203"/>
        <v>#NUM!</v>
      </c>
      <c r="BJ234" s="66" t="e">
        <f t="shared" si="251"/>
        <v>#NUM!</v>
      </c>
      <c r="BK234" s="63" t="e">
        <f t="shared" si="204"/>
        <v>#NUM!</v>
      </c>
      <c r="BL234" s="51">
        <f t="shared" si="252"/>
        <v>14.817375355795743</v>
      </c>
      <c r="BM234" s="63">
        <f t="shared" si="253"/>
        <v>65.397034672473708</v>
      </c>
    </row>
    <row r="235" spans="14:65" x14ac:dyDescent="0.3">
      <c r="N235" s="11">
        <v>17</v>
      </c>
      <c r="O235" s="52">
        <f t="shared" si="254"/>
        <v>1479.1083881682086</v>
      </c>
      <c r="P235" s="50" t="str">
        <f t="shared" si="206"/>
        <v>23.3035714285714</v>
      </c>
      <c r="Q235" s="18" t="str">
        <f t="shared" si="207"/>
        <v>1+3.52489637213749i</v>
      </c>
      <c r="R235" s="18">
        <f t="shared" si="218"/>
        <v>3.6639997863411566</v>
      </c>
      <c r="S235" s="18">
        <f t="shared" si="219"/>
        <v>1.2943633609680398</v>
      </c>
      <c r="T235" s="18" t="str">
        <f t="shared" si="208"/>
        <v>1+0.0164495164033083i</v>
      </c>
      <c r="U235" s="18">
        <f t="shared" si="220"/>
        <v>1.0001352841440514</v>
      </c>
      <c r="V235" s="18">
        <f t="shared" si="221"/>
        <v>1.6448032971289234E-2</v>
      </c>
      <c r="W235" s="32" t="str">
        <f t="shared" si="209"/>
        <v>1-0.0227174740033134i</v>
      </c>
      <c r="X235" s="18">
        <f t="shared" si="222"/>
        <v>1.0002580085283452</v>
      </c>
      <c r="Y235" s="18">
        <f t="shared" si="223"/>
        <v>-2.2713567174213533E-2</v>
      </c>
      <c r="Z235" s="32" t="str">
        <f t="shared" si="210"/>
        <v>0.999991248953504+0.0111496587948921i</v>
      </c>
      <c r="AA235" s="18">
        <f t="shared" si="224"/>
        <v>1.0000534050113681</v>
      </c>
      <c r="AB235" s="18">
        <f t="shared" si="225"/>
        <v>1.1149294366385473E-2</v>
      </c>
      <c r="AC235" s="68" t="str">
        <f t="shared" si="226"/>
        <v>1.6295877188585-6.1500729627465i</v>
      </c>
      <c r="AD235" s="66">
        <f t="shared" si="227"/>
        <v>16.072292770515414</v>
      </c>
      <c r="AE235" s="63">
        <f t="shared" si="228"/>
        <v>-75.159353917802306</v>
      </c>
      <c r="AF235" s="51" t="e">
        <f t="shared" si="229"/>
        <v>#NUM!</v>
      </c>
      <c r="AG235" s="51" t="str">
        <f t="shared" si="211"/>
        <v>1-4.9348549209925i</v>
      </c>
      <c r="AH235" s="51">
        <f t="shared" si="230"/>
        <v>5.0351557166828398</v>
      </c>
      <c r="AI235" s="51">
        <f t="shared" si="231"/>
        <v>-1.370863404538329</v>
      </c>
      <c r="AJ235" s="51" t="str">
        <f t="shared" si="212"/>
        <v>1+0.0164495164033083i</v>
      </c>
      <c r="AK235" s="51">
        <f t="shared" si="232"/>
        <v>1.0001352841440514</v>
      </c>
      <c r="AL235" s="51">
        <f t="shared" si="233"/>
        <v>1.6448032971289234E-2</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-0.000170731707317073</v>
      </c>
      <c r="AT235" s="32" t="str">
        <f t="shared" si="215"/>
        <v>0.000353153459506054i</v>
      </c>
      <c r="AU235" s="32">
        <f t="shared" si="239"/>
        <v>3.5315345950605401E-4</v>
      </c>
      <c r="AV235" s="32">
        <f t="shared" si="240"/>
        <v>1.5707963267948966</v>
      </c>
      <c r="AW235" s="32" t="str">
        <f t="shared" si="216"/>
        <v>1+0.0751894041485741i</v>
      </c>
      <c r="AX235" s="32">
        <f t="shared" si="241"/>
        <v>1.002822739319476</v>
      </c>
      <c r="AY235" s="32">
        <f t="shared" si="242"/>
        <v>7.5048189757630418E-2</v>
      </c>
      <c r="AZ235" s="32" t="str">
        <f t="shared" si="217"/>
        <v>1+1.42859867882291i</v>
      </c>
      <c r="BA235" s="32">
        <f t="shared" si="243"/>
        <v>1.7438159837364045</v>
      </c>
      <c r="BB235" s="32">
        <f t="shared" si="244"/>
        <v>0.96007932378306093</v>
      </c>
      <c r="BC235" s="60" t="str">
        <f t="shared" si="245"/>
        <v>-0.650626158711946+0.532369251167096i</v>
      </c>
      <c r="BD235" s="51">
        <f t="shared" si="246"/>
        <v>-1.5074560154542391</v>
      </c>
      <c r="BE235" s="63">
        <f t="shared" si="247"/>
        <v>140.70854871733431</v>
      </c>
      <c r="BF235" s="60" t="str">
        <f t="shared" si="248"/>
        <v>2.21385733999529+4.86894074114975i</v>
      </c>
      <c r="BG235" s="66">
        <f t="shared" si="249"/>
        <v>14.564836755061176</v>
      </c>
      <c r="BH235" s="63">
        <f t="shared" si="250"/>
        <v>65.549194799532017</v>
      </c>
      <c r="BI235" s="60" t="e">
        <f t="shared" si="203"/>
        <v>#NUM!</v>
      </c>
      <c r="BJ235" s="66" t="e">
        <f t="shared" si="251"/>
        <v>#NUM!</v>
      </c>
      <c r="BK235" s="63" t="e">
        <f t="shared" si="204"/>
        <v>#NUM!</v>
      </c>
      <c r="BL235" s="51">
        <f t="shared" si="252"/>
        <v>14.564836755061176</v>
      </c>
      <c r="BM235" s="63">
        <f t="shared" si="253"/>
        <v>65.549194799532017</v>
      </c>
    </row>
    <row r="236" spans="14:65" x14ac:dyDescent="0.3">
      <c r="N236" s="11">
        <v>18</v>
      </c>
      <c r="O236" s="52">
        <f t="shared" si="254"/>
        <v>1513.5612484362093</v>
      </c>
      <c r="P236" s="50" t="str">
        <f t="shared" si="206"/>
        <v>23.3035714285714</v>
      </c>
      <c r="Q236" s="18" t="str">
        <f t="shared" si="207"/>
        <v>1+3.60700175612415i</v>
      </c>
      <c r="R236" s="18">
        <f t="shared" si="218"/>
        <v>3.7430551249858315</v>
      </c>
      <c r="S236" s="18">
        <f t="shared" si="219"/>
        <v>1.3003501308893037</v>
      </c>
      <c r="T236" s="18" t="str">
        <f t="shared" si="208"/>
        <v>1+0.0168326748619127i</v>
      </c>
      <c r="U236" s="18">
        <f t="shared" si="220"/>
        <v>1.0001416594378052</v>
      </c>
      <c r="V236" s="18">
        <f t="shared" si="221"/>
        <v>1.6831085348025545E-2</v>
      </c>
      <c r="W236" s="32" t="str">
        <f t="shared" si="209"/>
        <v>1-0.0232466319499108i</v>
      </c>
      <c r="X236" s="18">
        <f t="shared" si="222"/>
        <v>1.0002701664535509</v>
      </c>
      <c r="Y236" s="18">
        <f t="shared" si="223"/>
        <v>-2.3242445768172217E-2</v>
      </c>
      <c r="Z236" s="32" t="str">
        <f t="shared" si="210"/>
        <v>0.999990836529389+0.0114093677111346i</v>
      </c>
      <c r="AA236" s="18">
        <f t="shared" si="224"/>
        <v>1.0000559218435312</v>
      </c>
      <c r="AB236" s="18">
        <f t="shared" si="225"/>
        <v>1.1408977220125061E-2</v>
      </c>
      <c r="AC236" s="68" t="str">
        <f t="shared" si="226"/>
        <v>1.55667987629201-6.03035037812946i</v>
      </c>
      <c r="AD236" s="66">
        <f t="shared" si="227"/>
        <v>15.887016183468859</v>
      </c>
      <c r="AE236" s="63">
        <f t="shared" si="228"/>
        <v>-75.525604525526958</v>
      </c>
      <c r="AF236" s="51" t="e">
        <f t="shared" si="229"/>
        <v>#NUM!</v>
      </c>
      <c r="AG236" s="51" t="str">
        <f t="shared" si="211"/>
        <v>1-5.04980245857382i</v>
      </c>
      <c r="AH236" s="51">
        <f t="shared" si="230"/>
        <v>5.1478641076293181</v>
      </c>
      <c r="AI236" s="51">
        <f t="shared" si="231"/>
        <v>-1.3752980725753776</v>
      </c>
      <c r="AJ236" s="51" t="str">
        <f t="shared" si="212"/>
        <v>1+0.0168326748619127i</v>
      </c>
      <c r="AK236" s="51">
        <f t="shared" si="232"/>
        <v>1.0001416594378052</v>
      </c>
      <c r="AL236" s="51">
        <f t="shared" si="233"/>
        <v>1.6831085348025545E-2</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-0.000170731707317073</v>
      </c>
      <c r="AT236" s="32" t="str">
        <f t="shared" si="215"/>
        <v>0.00036137946031225i</v>
      </c>
      <c r="AU236" s="32">
        <f t="shared" si="239"/>
        <v>3.6137946031225001E-4</v>
      </c>
      <c r="AV236" s="32">
        <f t="shared" si="240"/>
        <v>1.5707963267948966</v>
      </c>
      <c r="AW236" s="32" t="str">
        <f t="shared" si="216"/>
        <v>1+0.0769407903590013i</v>
      </c>
      <c r="AX236" s="32">
        <f t="shared" si="241"/>
        <v>1.002955574899042</v>
      </c>
      <c r="AY236" s="32">
        <f t="shared" si="242"/>
        <v>7.6789500485166001E-2</v>
      </c>
      <c r="AZ236" s="32" t="str">
        <f t="shared" si="217"/>
        <v>1+1.46187501682103i</v>
      </c>
      <c r="BA236" s="32">
        <f t="shared" si="243"/>
        <v>1.771179992210133</v>
      </c>
      <c r="BB236" s="32">
        <f t="shared" si="244"/>
        <v>0.97085341324746299</v>
      </c>
      <c r="BC236" s="60" t="str">
        <f t="shared" si="245"/>
        <v>-0.650453826892456+0.522490845417518i</v>
      </c>
      <c r="BD236" s="51">
        <f t="shared" si="246"/>
        <v>-1.573365615337954</v>
      </c>
      <c r="BE236" s="63">
        <f t="shared" si="247"/>
        <v>141.22608881623222</v>
      </c>
      <c r="BF236" s="60" t="str">
        <f t="shared" si="248"/>
        <v>2.1382544844521+4.73581546556493i</v>
      </c>
      <c r="BG236" s="66">
        <f t="shared" si="249"/>
        <v>14.313650568130914</v>
      </c>
      <c r="BH236" s="63">
        <f t="shared" si="250"/>
        <v>65.700484290705262</v>
      </c>
      <c r="BI236" s="60" t="e">
        <f t="shared" si="203"/>
        <v>#NUM!</v>
      </c>
      <c r="BJ236" s="66" t="e">
        <f t="shared" si="251"/>
        <v>#NUM!</v>
      </c>
      <c r="BK236" s="63" t="e">
        <f t="shared" si="204"/>
        <v>#NUM!</v>
      </c>
      <c r="BL236" s="51">
        <f t="shared" si="252"/>
        <v>14.313650568130914</v>
      </c>
      <c r="BM236" s="63">
        <f t="shared" si="253"/>
        <v>65.700484290705262</v>
      </c>
    </row>
    <row r="237" spans="14:65" x14ac:dyDescent="0.3">
      <c r="N237" s="11">
        <v>19</v>
      </c>
      <c r="O237" s="52">
        <f t="shared" si="254"/>
        <v>1548.8166189124822</v>
      </c>
      <c r="P237" s="50" t="str">
        <f t="shared" si="206"/>
        <v>23.3035714285714</v>
      </c>
      <c r="Q237" s="18" t="str">
        <f t="shared" si="207"/>
        <v>1+3.69101962018621i</v>
      </c>
      <c r="R237" s="18">
        <f t="shared" si="218"/>
        <v>3.8240849672306649</v>
      </c>
      <c r="S237" s="18">
        <f t="shared" si="219"/>
        <v>1.3062198912892757</v>
      </c>
      <c r="T237" s="18" t="str">
        <f t="shared" si="208"/>
        <v>1+0.0172247582275357i</v>
      </c>
      <c r="U237" s="18">
        <f t="shared" si="220"/>
        <v>1.0001483351463407</v>
      </c>
      <c r="V237" s="18">
        <f t="shared" si="221"/>
        <v>1.7223055046362352E-2</v>
      </c>
      <c r="W237" s="32" t="str">
        <f t="shared" si="209"/>
        <v>1-0.0237881155684736i</v>
      </c>
      <c r="X237" s="18">
        <f t="shared" si="222"/>
        <v>1.0002828972057352</v>
      </c>
      <c r="Y237" s="18">
        <f t="shared" si="223"/>
        <v>-2.378363006243819E-2</v>
      </c>
      <c r="Z237" s="32" t="str">
        <f t="shared" si="210"/>
        <v>0.999990404668324+0.0116751260251583i</v>
      </c>
      <c r="AA237" s="18">
        <f t="shared" si="224"/>
        <v>1.0000585572837331</v>
      </c>
      <c r="AB237" s="18">
        <f t="shared" si="225"/>
        <v>1.1674707607816593E-2</v>
      </c>
      <c r="AC237" s="68" t="str">
        <f t="shared" si="226"/>
        <v>1.48659401191084-5.91212969279762i</v>
      </c>
      <c r="AD237" s="66">
        <f t="shared" si="227"/>
        <v>15.701135613963935</v>
      </c>
      <c r="AE237" s="63">
        <f t="shared" si="228"/>
        <v>-75.885691619489975</v>
      </c>
      <c r="AF237" s="51" t="e">
        <f t="shared" si="229"/>
        <v>#NUM!</v>
      </c>
      <c r="AG237" s="51" t="str">
        <f t="shared" si="211"/>
        <v>1-5.16742746826071i</v>
      </c>
      <c r="AH237" s="51">
        <f t="shared" si="230"/>
        <v>5.2632980762764419</v>
      </c>
      <c r="AI237" s="51">
        <f t="shared" si="231"/>
        <v>-1.3796393345704956</v>
      </c>
      <c r="AJ237" s="51" t="str">
        <f t="shared" si="212"/>
        <v>1+0.0172247582275357i</v>
      </c>
      <c r="AK237" s="51">
        <f t="shared" si="232"/>
        <v>1.0001483351463407</v>
      </c>
      <c r="AL237" s="51">
        <f t="shared" si="233"/>
        <v>1.7223055046362352E-2</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-0.000170731707317073</v>
      </c>
      <c r="AT237" s="32" t="str">
        <f t="shared" si="215"/>
        <v>0.000369797069291726i</v>
      </c>
      <c r="AU237" s="32">
        <f t="shared" si="239"/>
        <v>3.69797069291726E-4</v>
      </c>
      <c r="AV237" s="32">
        <f t="shared" si="240"/>
        <v>1.5707963267948966</v>
      </c>
      <c r="AW237" s="32" t="str">
        <f t="shared" si="216"/>
        <v>1+0.0787329715949086i</v>
      </c>
      <c r="AX237" s="32">
        <f t="shared" si="241"/>
        <v>1.0030946519726662</v>
      </c>
      <c r="AY237" s="32">
        <f t="shared" si="242"/>
        <v>7.8570888573437983E-2</v>
      </c>
      <c r="AZ237" s="32" t="str">
        <f t="shared" si="217"/>
        <v>1+1.49592646030327i</v>
      </c>
      <c r="BA237" s="32">
        <f t="shared" si="243"/>
        <v>1.7993876665786812</v>
      </c>
      <c r="BB237" s="32">
        <f t="shared" si="244"/>
        <v>0.98153796613342581</v>
      </c>
      <c r="BC237" s="60" t="str">
        <f t="shared" si="245"/>
        <v>-0.650273471143731+0.512888228812946i</v>
      </c>
      <c r="BD237" s="51">
        <f t="shared" si="246"/>
        <v>-1.6373291449379035</v>
      </c>
      <c r="BE237" s="63">
        <f t="shared" si="247"/>
        <v>141.73620258344937</v>
      </c>
      <c r="BF237" s="60" t="str">
        <f t="shared" si="248"/>
        <v>2.06556907834465+4.60695766692031i</v>
      </c>
      <c r="BG237" s="66">
        <f t="shared" si="249"/>
        <v>14.063806469026026</v>
      </c>
      <c r="BH237" s="63">
        <f t="shared" si="250"/>
        <v>65.850510963959422</v>
      </c>
      <c r="BI237" s="60" t="e">
        <f t="shared" si="203"/>
        <v>#NUM!</v>
      </c>
      <c r="BJ237" s="66" t="e">
        <f t="shared" si="251"/>
        <v>#NUM!</v>
      </c>
      <c r="BK237" s="63" t="e">
        <f t="shared" si="204"/>
        <v>#NUM!</v>
      </c>
      <c r="BL237" s="51">
        <f t="shared" si="252"/>
        <v>14.063806469026026</v>
      </c>
      <c r="BM237" s="63">
        <f t="shared" si="253"/>
        <v>65.850510963959422</v>
      </c>
    </row>
    <row r="238" spans="14:65" x14ac:dyDescent="0.3">
      <c r="N238" s="11">
        <v>20</v>
      </c>
      <c r="O238" s="52">
        <f t="shared" si="254"/>
        <v>1584.8931924611156</v>
      </c>
      <c r="P238" s="50" t="str">
        <f t="shared" si="206"/>
        <v>23.3035714285714</v>
      </c>
      <c r="Q238" s="18" t="str">
        <f t="shared" si="207"/>
        <v>1+3.77699451170733i</v>
      </c>
      <c r="R238" s="18">
        <f t="shared" si="218"/>
        <v>3.9071329055289756</v>
      </c>
      <c r="S238" s="18">
        <f t="shared" si="219"/>
        <v>1.3119741358441643</v>
      </c>
      <c r="T238" s="18" t="str">
        <f t="shared" si="208"/>
        <v>1+0.0176259743879675i</v>
      </c>
      <c r="U238" s="18">
        <f t="shared" si="220"/>
        <v>1.0001553254235691</v>
      </c>
      <c r="V238" s="18">
        <f t="shared" si="221"/>
        <v>1.7624149411766987E-2</v>
      </c>
      <c r="W238" s="32" t="str">
        <f t="shared" si="209"/>
        <v>1-0.0243422119607838i</v>
      </c>
      <c r="X238" s="18">
        <f t="shared" si="222"/>
        <v>1.0002962277661271</v>
      </c>
      <c r="Y238" s="18">
        <f t="shared" si="223"/>
        <v>-2.433740573134276E-2</v>
      </c>
      <c r="Z238" s="32" t="str">
        <f t="shared" si="210"/>
        <v>0.999989952454274+0.0119470746455392i</v>
      </c>
      <c r="AA238" s="18">
        <f t="shared" si="224"/>
        <v>1.0000613169211612</v>
      </c>
      <c r="AB238" s="18">
        <f t="shared" si="225"/>
        <v>1.1946626304753712E-2</v>
      </c>
      <c r="AC238" s="68" t="str">
        <f t="shared" si="226"/>
        <v>1.41923946483985-5.79544603367151i</v>
      </c>
      <c r="AD238" s="66">
        <f t="shared" si="227"/>
        <v>15.514675083216275</v>
      </c>
      <c r="AE238" s="63">
        <f t="shared" si="228"/>
        <v>-76.239713334777505</v>
      </c>
      <c r="AF238" s="51" t="e">
        <f t="shared" si="229"/>
        <v>#NUM!</v>
      </c>
      <c r="AG238" s="51" t="str">
        <f t="shared" si="211"/>
        <v>1-5.28779231639027i</v>
      </c>
      <c r="AH238" s="51">
        <f t="shared" si="230"/>
        <v>5.3815190774795152</v>
      </c>
      <c r="AI238" s="51">
        <f t="shared" si="231"/>
        <v>-1.383888837461263</v>
      </c>
      <c r="AJ238" s="51" t="str">
        <f t="shared" si="212"/>
        <v>1+0.0176259743879675i</v>
      </c>
      <c r="AK238" s="51">
        <f t="shared" si="232"/>
        <v>1.0001553254235691</v>
      </c>
      <c r="AL238" s="51">
        <f t="shared" si="233"/>
        <v>1.7624149411766987E-2</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-0.000170731707317073</v>
      </c>
      <c r="AT238" s="32" t="str">
        <f t="shared" si="215"/>
        <v>0.000378410749572184i</v>
      </c>
      <c r="AU238" s="32">
        <f t="shared" si="239"/>
        <v>3.7841074957218398E-4</v>
      </c>
      <c r="AV238" s="32">
        <f t="shared" si="240"/>
        <v>1.5707963267948966</v>
      </c>
      <c r="AW238" s="32" t="str">
        <f t="shared" si="216"/>
        <v>1+0.0805668980945097i</v>
      </c>
      <c r="AX238" s="32">
        <f t="shared" si="241"/>
        <v>1.0032402628825117</v>
      </c>
      <c r="AY238" s="32">
        <f t="shared" si="242"/>
        <v>8.0393253289076649E-2</v>
      </c>
      <c r="AZ238" s="32" t="str">
        <f t="shared" si="217"/>
        <v>1+1.53077106379569i</v>
      </c>
      <c r="BA238" s="32">
        <f t="shared" si="243"/>
        <v>1.8284583806458892</v>
      </c>
      <c r="BB238" s="32">
        <f t="shared" si="244"/>
        <v>0.99212888953742551</v>
      </c>
      <c r="BC238" s="60" t="str">
        <f t="shared" si="245"/>
        <v>-0.650084722657798+0.50355622216999i</v>
      </c>
      <c r="BD238" s="51">
        <f t="shared" si="246"/>
        <v>-1.6993831121833891</v>
      </c>
      <c r="BE238" s="63">
        <f t="shared" si="247"/>
        <v>142.23860398870525</v>
      </c>
      <c r="BF238" s="60" t="str">
        <f t="shared" si="248"/>
        <v>1.99570701662026+4.48219779074689i</v>
      </c>
      <c r="BG238" s="66">
        <f t="shared" si="249"/>
        <v>13.815291971032885</v>
      </c>
      <c r="BH238" s="63">
        <f t="shared" si="250"/>
        <v>65.998890653927745</v>
      </c>
      <c r="BI238" s="60" t="e">
        <f t="shared" si="203"/>
        <v>#NUM!</v>
      </c>
      <c r="BJ238" s="66" t="e">
        <f t="shared" si="251"/>
        <v>#NUM!</v>
      </c>
      <c r="BK238" s="63" t="e">
        <f t="shared" si="204"/>
        <v>#NUM!</v>
      </c>
      <c r="BL238" s="51">
        <f t="shared" si="252"/>
        <v>13.815291971032885</v>
      </c>
      <c r="BM238" s="63">
        <f t="shared" si="253"/>
        <v>65.998890653927745</v>
      </c>
    </row>
    <row r="239" spans="14:65" x14ac:dyDescent="0.3">
      <c r="N239" s="11">
        <v>21</v>
      </c>
      <c r="O239" s="52">
        <f t="shared" si="254"/>
        <v>1621.8100973589308</v>
      </c>
      <c r="P239" s="50" t="str">
        <f t="shared" si="206"/>
        <v>23.3035714285714</v>
      </c>
      <c r="Q239" s="18" t="str">
        <f t="shared" si="207"/>
        <v>1+3.86497201571296i</v>
      </c>
      <c r="R239" s="18">
        <f t="shared" si="218"/>
        <v>3.9922435649950394</v>
      </c>
      <c r="S239" s="18">
        <f t="shared" si="219"/>
        <v>1.3176143906619113</v>
      </c>
      <c r="T239" s="18" t="str">
        <f t="shared" si="208"/>
        <v>1+0.0180365360733272i</v>
      </c>
      <c r="U239" s="18">
        <f t="shared" si="220"/>
        <v>1.0001626450900496</v>
      </c>
      <c r="V239" s="18">
        <f t="shared" si="221"/>
        <v>1.8034580593271187E-2</v>
      </c>
      <c r="W239" s="32" t="str">
        <f t="shared" si="209"/>
        <v>1-0.0249092149160827i</v>
      </c>
      <c r="X239" s="18">
        <f t="shared" si="222"/>
        <v>1.0003101863860708</v>
      </c>
      <c r="Y239" s="18">
        <f t="shared" si="223"/>
        <v>-2.490406503469705E-2</v>
      </c>
      <c r="Z239" s="32" t="str">
        <f t="shared" si="210"/>
        <v>0.999989478928032+0.0122253577630353i</v>
      </c>
      <c r="AA239" s="18">
        <f t="shared" si="224"/>
        <v>1.0000642066083512</v>
      </c>
      <c r="AB239" s="18">
        <f t="shared" si="225"/>
        <v>1.2224877358881945E-2</v>
      </c>
      <c r="AC239" s="68" t="str">
        <f t="shared" si="226"/>
        <v>1.3545269355692-5.68033031057381i</v>
      </c>
      <c r="AD239" s="66">
        <f t="shared" si="227"/>
        <v>15.327657858407836</v>
      </c>
      <c r="AE239" s="63">
        <f t="shared" si="228"/>
        <v>-76.587769954282606</v>
      </c>
      <c r="AF239" s="51" t="e">
        <f t="shared" si="229"/>
        <v>#NUM!</v>
      </c>
      <c r="AG239" s="51" t="str">
        <f t="shared" si="211"/>
        <v>1-5.41096082199816i</v>
      </c>
      <c r="AH239" s="51">
        <f t="shared" si="230"/>
        <v>5.5025900280866828</v>
      </c>
      <c r="AI239" s="51">
        <f t="shared" si="231"/>
        <v>-1.3880482201836166</v>
      </c>
      <c r="AJ239" s="51" t="str">
        <f t="shared" si="212"/>
        <v>1+0.0180365360733272i</v>
      </c>
      <c r="AK239" s="51">
        <f t="shared" si="232"/>
        <v>1.0001626450900496</v>
      </c>
      <c r="AL239" s="51">
        <f t="shared" si="233"/>
        <v>1.8034580593271187E-2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-0.000170731707317073</v>
      </c>
      <c r="AT239" s="32" t="str">
        <f t="shared" si="215"/>
        <v>0.000387225068240923i</v>
      </c>
      <c r="AU239" s="32">
        <f t="shared" si="239"/>
        <v>3.87225068240923E-4</v>
      </c>
      <c r="AV239" s="32">
        <f t="shared" si="240"/>
        <v>1.5707963267948966</v>
      </c>
      <c r="AW239" s="32" t="str">
        <f t="shared" si="216"/>
        <v>1+0.0824435422299092i</v>
      </c>
      <c r="AX239" s="32">
        <f t="shared" si="241"/>
        <v>1.0033927135750065</v>
      </c>
      <c r="AY239" s="32">
        <f t="shared" si="242"/>
        <v>8.225751243018721E-2</v>
      </c>
      <c r="AZ239" s="32" t="str">
        <f t="shared" si="217"/>
        <v>1+1.56642730236828i</v>
      </c>
      <c r="BA239" s="32">
        <f t="shared" si="243"/>
        <v>1.8584118202391975</v>
      </c>
      <c r="BB239" s="32">
        <f t="shared" si="244"/>
        <v>1.0026222951062713</v>
      </c>
      <c r="BC239" s="60" t="str">
        <f t="shared" si="245"/>
        <v>-0.649887196134087+0.494489783644266i</v>
      </c>
      <c r="BD239" s="51">
        <f t="shared" si="246"/>
        <v>-1.7595653108480236</v>
      </c>
      <c r="BE239" s="63">
        <f t="shared" si="247"/>
        <v>142.73301765981481</v>
      </c>
      <c r="BF239" s="60" t="str">
        <f t="shared" si="248"/>
        <v>1.92857559405845+4.36137366996422i</v>
      </c>
      <c r="BG239" s="66">
        <f t="shared" si="249"/>
        <v>13.568092547559802</v>
      </c>
      <c r="BH239" s="63">
        <f t="shared" si="250"/>
        <v>66.145247705532114</v>
      </c>
      <c r="BI239" s="60" t="e">
        <f t="shared" si="203"/>
        <v>#NUM!</v>
      </c>
      <c r="BJ239" s="66" t="e">
        <f t="shared" si="251"/>
        <v>#NUM!</v>
      </c>
      <c r="BK239" s="63" t="e">
        <f t="shared" si="204"/>
        <v>#NUM!</v>
      </c>
      <c r="BL239" s="51">
        <f t="shared" si="252"/>
        <v>13.568092547559802</v>
      </c>
      <c r="BM239" s="63">
        <f t="shared" si="253"/>
        <v>66.145247705532114</v>
      </c>
    </row>
    <row r="240" spans="14:65" x14ac:dyDescent="0.3">
      <c r="N240" s="11">
        <v>22</v>
      </c>
      <c r="O240" s="52">
        <f t="shared" si="254"/>
        <v>1659.5869074375626</v>
      </c>
      <c r="P240" s="50" t="str">
        <f t="shared" si="206"/>
        <v>23.3035714285714</v>
      </c>
      <c r="Q240" s="18" t="str">
        <f t="shared" si="207"/>
        <v>1+3.95499877904031i</v>
      </c>
      <c r="R240" s="18">
        <f t="shared" si="218"/>
        <v>4.0794626290983889</v>
      </c>
      <c r="S240" s="18">
        <f t="shared" si="219"/>
        <v>1.32314221024042</v>
      </c>
      <c r="T240" s="18" t="str">
        <f t="shared" si="208"/>
        <v>1+0.0184566609688548i</v>
      </c>
      <c r="U240" s="18">
        <f t="shared" si="220"/>
        <v>1.0001703096643688</v>
      </c>
      <c r="V240" s="18">
        <f t="shared" si="221"/>
        <v>1.8454565653493397E-2</v>
      </c>
      <c r="W240" s="32" t="str">
        <f t="shared" si="209"/>
        <v>1-0.0254894250668427i</v>
      </c>
      <c r="X240" s="18">
        <f t="shared" si="222"/>
        <v>1.0003248026467393</v>
      </c>
      <c r="Y240" s="18">
        <f t="shared" si="223"/>
        <v>-2.5483906966283748E-2</v>
      </c>
      <c r="Z240" s="32" t="str">
        <f t="shared" si="210"/>
        <v>0.999988983085187+0.0125101229270391i</v>
      </c>
      <c r="AA240" s="18">
        <f t="shared" si="224"/>
        <v>1.0000672324735953</v>
      </c>
      <c r="AB240" s="18">
        <f t="shared" si="225"/>
        <v>1.2509608166569822E-2</v>
      </c>
      <c r="AC240" s="68" t="str">
        <f t="shared" si="226"/>
        <v>1.29236860899126-5.56680942932017i</v>
      </c>
      <c r="AD240" s="66">
        <f t="shared" si="227"/>
        <v>15.140106465531103</v>
      </c>
      <c r="AE240" s="63">
        <f t="shared" si="228"/>
        <v>-76.929963683674188</v>
      </c>
      <c r="AF240" s="51" t="e">
        <f t="shared" si="229"/>
        <v>#NUM!</v>
      </c>
      <c r="AG240" s="51" t="str">
        <f t="shared" si="211"/>
        <v>1-5.53699829065644i</v>
      </c>
      <c r="AH240" s="51">
        <f t="shared" si="230"/>
        <v>5.6265753412473147</v>
      </c>
      <c r="AI240" s="51">
        <f t="shared" si="231"/>
        <v>-1.3921191121424175</v>
      </c>
      <c r="AJ240" s="51" t="str">
        <f t="shared" si="212"/>
        <v>1+0.0184566609688548i</v>
      </c>
      <c r="AK240" s="51">
        <f t="shared" si="232"/>
        <v>1.0001703096643688</v>
      </c>
      <c r="AL240" s="51">
        <f t="shared" si="233"/>
        <v>1.8454565653493397E-2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-0.000170731707317073</v>
      </c>
      <c r="AT240" s="32" t="str">
        <f t="shared" si="215"/>
        <v>0.000396244698766373i</v>
      </c>
      <c r="AU240" s="32">
        <f t="shared" si="239"/>
        <v>3.9624469876637302E-4</v>
      </c>
      <c r="AV240" s="32">
        <f t="shared" si="240"/>
        <v>1.5707963267948966</v>
      </c>
      <c r="AW240" s="32" t="str">
        <f t="shared" si="216"/>
        <v>1+0.0843638990226687i</v>
      </c>
      <c r="AX240" s="32">
        <f t="shared" si="241"/>
        <v>1.0035523242254523</v>
      </c>
      <c r="AY240" s="32">
        <f t="shared" si="242"/>
        <v>8.4164602589469992E-2</v>
      </c>
      <c r="AZ240" s="32" t="str">
        <f t="shared" si="217"/>
        <v>1+1.60291408143071i</v>
      </c>
      <c r="BA240" s="32">
        <f t="shared" si="243"/>
        <v>1.8892679938137038</v>
      </c>
      <c r="BB240" s="32">
        <f t="shared" si="244"/>
        <v>1.0130145028005983</v>
      </c>
      <c r="BC240" s="60" t="str">
        <f t="shared" si="245"/>
        <v>-0.649680489085996+0.485684005633949i</v>
      </c>
      <c r="BD240" s="51">
        <f t="shared" si="246"/>
        <v>-1.8179147110196863</v>
      </c>
      <c r="BE240" s="63">
        <f t="shared" si="247"/>
        <v>143.21917908324536</v>
      </c>
      <c r="BF240" s="60" t="str">
        <f t="shared" si="248"/>
        <v>1.86408363226423+4.24433023545971i</v>
      </c>
      <c r="BG240" s="66">
        <f t="shared" si="249"/>
        <v>13.322191754511417</v>
      </c>
      <c r="BH240" s="63">
        <f t="shared" si="250"/>
        <v>66.289215399571162</v>
      </c>
      <c r="BI240" s="60" t="e">
        <f t="shared" si="203"/>
        <v>#NUM!</v>
      </c>
      <c r="BJ240" s="66" t="e">
        <f t="shared" si="251"/>
        <v>#NUM!</v>
      </c>
      <c r="BK240" s="63" t="e">
        <f t="shared" si="204"/>
        <v>#NUM!</v>
      </c>
      <c r="BL240" s="51">
        <f t="shared" si="252"/>
        <v>13.322191754511417</v>
      </c>
      <c r="BM240" s="63">
        <f t="shared" si="253"/>
        <v>66.289215399571162</v>
      </c>
    </row>
    <row r="241" spans="14:65" x14ac:dyDescent="0.3">
      <c r="N241" s="11">
        <v>23</v>
      </c>
      <c r="O241" s="52">
        <f t="shared" si="254"/>
        <v>1698.2436524617447</v>
      </c>
      <c r="P241" s="50" t="str">
        <f t="shared" si="206"/>
        <v>23.3035714285714</v>
      </c>
      <c r="Q241" s="18" t="str">
        <f t="shared" si="207"/>
        <v>1+4.04712253507087i</v>
      </c>
      <c r="R241" s="18">
        <f t="shared" si="218"/>
        <v>4.1688368658270223</v>
      </c>
      <c r="S241" s="18">
        <f t="shared" si="219"/>
        <v>1.3285591736337419</v>
      </c>
      <c r="T241" s="18" t="str">
        <f t="shared" si="208"/>
        <v>1+0.0188865718303307i</v>
      </c>
      <c r="U241" s="18">
        <f t="shared" si="220"/>
        <v>1.0001783353959943</v>
      </c>
      <c r="V241" s="18">
        <f t="shared" si="221"/>
        <v>1.8884326681090781E-2</v>
      </c>
      <c r="W241" s="32" t="str">
        <f t="shared" si="209"/>
        <v>1-0.0260831500481655i</v>
      </c>
      <c r="X241" s="18">
        <f t="shared" si="222"/>
        <v>1.0003401075216545</v>
      </c>
      <c r="Y241" s="18">
        <f t="shared" si="223"/>
        <v>-2.6077237405456324E-2</v>
      </c>
      <c r="Z241" s="32" t="str">
        <f t="shared" si="210"/>
        <v>0.999988463873988+0.0128015211238099i</v>
      </c>
      <c r="AA241" s="18">
        <f t="shared" si="224"/>
        <v>1.000070400933925</v>
      </c>
      <c r="AB241" s="18">
        <f t="shared" si="225"/>
        <v>1.2800969550111235E-2</v>
      </c>
      <c r="AC241" s="68" t="str">
        <f t="shared" si="226"/>
        <v>1.23267826170578-5.45490650158234i</v>
      </c>
      <c r="AD241" s="66">
        <f t="shared" si="227"/>
        <v>14.952042703249035</v>
      </c>
      <c r="AE241" s="63">
        <f t="shared" si="228"/>
        <v>-77.266398438419074</v>
      </c>
      <c r="AF241" s="51" t="e">
        <f t="shared" si="229"/>
        <v>#NUM!</v>
      </c>
      <c r="AG241" s="51" t="str">
        <f t="shared" si="211"/>
        <v>1-5.66597154909923i</v>
      </c>
      <c r="AH241" s="51">
        <f t="shared" si="230"/>
        <v>5.7535409614603354</v>
      </c>
      <c r="AI241" s="51">
        <f t="shared" si="231"/>
        <v>-1.3961031318053332</v>
      </c>
      <c r="AJ241" s="51" t="str">
        <f t="shared" si="212"/>
        <v>1+0.0188865718303307i</v>
      </c>
      <c r="AK241" s="51">
        <f t="shared" si="232"/>
        <v>1.0001783353959943</v>
      </c>
      <c r="AL241" s="51">
        <f t="shared" si="233"/>
        <v>1.8884326681090781E-2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-0.000170731707317073</v>
      </c>
      <c r="AT241" s="32" t="str">
        <f t="shared" si="215"/>
        <v>0.000405474423476028i</v>
      </c>
      <c r="AU241" s="32">
        <f t="shared" si="239"/>
        <v>4.0547442347602802E-4</v>
      </c>
      <c r="AV241" s="32">
        <f t="shared" si="240"/>
        <v>1.5707963267948966</v>
      </c>
      <c r="AW241" s="32" t="str">
        <f t="shared" si="216"/>
        <v>1+0.0863289866713778i</v>
      </c>
      <c r="AX241" s="32">
        <f t="shared" si="241"/>
        <v>1.0037194298904983</v>
      </c>
      <c r="AY241" s="32">
        <f t="shared" si="242"/>
        <v>8.6115479411914941E-2</v>
      </c>
      <c r="AZ241" s="32" t="str">
        <f t="shared" si="217"/>
        <v>1+1.64025074675618i</v>
      </c>
      <c r="BA241" s="32">
        <f t="shared" si="243"/>
        <v>1.9210472436236974</v>
      </c>
      <c r="BB241" s="32">
        <f t="shared" si="244"/>
        <v>1.0233020436985427</v>
      </c>
      <c r="BC241" s="60" t="str">
        <f t="shared" si="245"/>
        <v>-0.649464181122553+0.477134111726165i</v>
      </c>
      <c r="BD241" s="51">
        <f t="shared" si="246"/>
        <v>-1.8744713499099053</v>
      </c>
      <c r="BE241" s="63">
        <f t="shared" si="247"/>
        <v>143.69683474998973</v>
      </c>
      <c r="BF241" s="60" t="str">
        <f t="shared" si="248"/>
        <v>1.80214159035546+4.13091923159341i</v>
      </c>
      <c r="BG241" s="66">
        <f t="shared" si="249"/>
        <v>13.077571353339138</v>
      </c>
      <c r="BH241" s="63">
        <f t="shared" si="250"/>
        <v>66.430436311570631</v>
      </c>
      <c r="BI241" s="60" t="e">
        <f t="shared" si="203"/>
        <v>#NUM!</v>
      </c>
      <c r="BJ241" s="66" t="e">
        <f t="shared" si="251"/>
        <v>#NUM!</v>
      </c>
      <c r="BK241" s="63" t="e">
        <f t="shared" si="204"/>
        <v>#NUM!</v>
      </c>
      <c r="BL241" s="51">
        <f t="shared" si="252"/>
        <v>13.077571353339138</v>
      </c>
      <c r="BM241" s="63">
        <f t="shared" si="253"/>
        <v>66.430436311570631</v>
      </c>
    </row>
    <row r="242" spans="14:65" x14ac:dyDescent="0.3">
      <c r="N242" s="11">
        <v>24</v>
      </c>
      <c r="O242" s="52">
        <f t="shared" si="254"/>
        <v>1737.8008287493772</v>
      </c>
      <c r="P242" s="50" t="str">
        <f t="shared" si="206"/>
        <v>23.3035714285714</v>
      </c>
      <c r="Q242" s="18" t="str">
        <f t="shared" si="207"/>
        <v>1+4.14139212903956i</v>
      </c>
      <c r="R242" s="18">
        <f t="shared" si="218"/>
        <v>4.2604141543365026</v>
      </c>
      <c r="S242" s="18">
        <f t="shared" si="219"/>
        <v>1.3338668808227458</v>
      </c>
      <c r="T242" s="18" t="str">
        <f t="shared" si="208"/>
        <v>1+0.0193264966021846i</v>
      </c>
      <c r="U242" s="18">
        <f t="shared" si="220"/>
        <v>1.0001867392996742</v>
      </c>
      <c r="V242" s="18">
        <f t="shared" si="221"/>
        <v>1.9324090905688786E-2</v>
      </c>
      <c r="W242" s="32" t="str">
        <f t="shared" si="209"/>
        <v>1-0.0266907046608953i</v>
      </c>
      <c r="X242" s="18">
        <f t="shared" si="222"/>
        <v>1.0003561334421331</v>
      </c>
      <c r="Y242" s="18">
        <f t="shared" si="223"/>
        <v>-2.6684369271897282E-2</v>
      </c>
      <c r="Z242" s="32" t="str">
        <f t="shared" si="210"/>
        <v>0.999987920193118+0.0130997068565288i</v>
      </c>
      <c r="AA242" s="18">
        <f t="shared" si="224"/>
        <v>1.0000737187087185</v>
      </c>
      <c r="AB242" s="18">
        <f t="shared" si="225"/>
        <v>1.3099115836998163E-2</v>
      </c>
      <c r="AC242" s="68" t="str">
        <f t="shared" si="226"/>
        <v>1.17537135457816-5.34464105079575i</v>
      </c>
      <c r="AD242" s="66">
        <f t="shared" si="227"/>
        <v>14.763487657639764</v>
      </c>
      <c r="AE242" s="63">
        <f t="shared" si="228"/>
        <v>-77.597179642661061</v>
      </c>
      <c r="AF242" s="51" t="e">
        <f t="shared" si="229"/>
        <v>#NUM!</v>
      </c>
      <c r="AG242" s="51" t="str">
        <f t="shared" si="211"/>
        <v>1-5.79794898065539i</v>
      </c>
      <c r="AH242" s="51">
        <f t="shared" si="230"/>
        <v>5.88355440038442</v>
      </c>
      <c r="AI242" s="51">
        <f t="shared" si="231"/>
        <v>-1.400001885413841</v>
      </c>
      <c r="AJ242" s="51" t="str">
        <f t="shared" si="212"/>
        <v>1+0.0193264966021846i</v>
      </c>
      <c r="AK242" s="51">
        <f t="shared" si="232"/>
        <v>1.0001867392996742</v>
      </c>
      <c r="AL242" s="51">
        <f t="shared" si="233"/>
        <v>1.9324090905688786E-2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-0.000170731707317073</v>
      </c>
      <c r="AT242" s="32" t="str">
        <f t="shared" si="215"/>
        <v>0.000414919136092099i</v>
      </c>
      <c r="AU242" s="32">
        <f t="shared" si="239"/>
        <v>4.1491913609209899E-4</v>
      </c>
      <c r="AV242" s="32">
        <f t="shared" si="240"/>
        <v>1.5707963267948966</v>
      </c>
      <c r="AW242" s="32" t="str">
        <f t="shared" si="216"/>
        <v>1+0.0883398470915199i</v>
      </c>
      <c r="AX242" s="32">
        <f t="shared" si="241"/>
        <v>1.0038943811896515</v>
      </c>
      <c r="AY242" s="32">
        <f t="shared" si="242"/>
        <v>8.8111117846188955E-2</v>
      </c>
      <c r="AZ242" s="32" t="str">
        <f t="shared" si="217"/>
        <v>1+1.67845709473888i</v>
      </c>
      <c r="BA242" s="32">
        <f t="shared" si="243"/>
        <v>1.9537702574456601</v>
      </c>
      <c r="BB242" s="32">
        <f t="shared" si="244"/>
        <v>1.0334816618656042</v>
      </c>
      <c r="BC242" s="60" t="str">
        <f t="shared" si="245"/>
        <v>-0.649237833204803+0.468835453682773i</v>
      </c>
      <c r="BD242" s="51">
        <f t="shared" si="246"/>
        <v>-1.9292762236712966</v>
      </c>
      <c r="BE242" s="63">
        <f t="shared" si="247"/>
        <v>144.16574224829918</v>
      </c>
      <c r="BF242" s="60" t="str">
        <f t="shared" si="248"/>
        <v>1.74266166036408+4.02099893734546i</v>
      </c>
      <c r="BG242" s="66">
        <f t="shared" si="249"/>
        <v>12.834211433968466</v>
      </c>
      <c r="BH242" s="63">
        <f t="shared" si="250"/>
        <v>66.568562605638107</v>
      </c>
      <c r="BI242" s="60" t="e">
        <f t="shared" ref="BI242:BI305" si="255">IMPRODUCT(AP242,BC242)</f>
        <v>#NUM!</v>
      </c>
      <c r="BJ242" s="66" t="e">
        <f t="shared" si="251"/>
        <v>#NUM!</v>
      </c>
      <c r="BK242" s="63" t="e">
        <f t="shared" ref="BK242:BK305" si="256">(180/PI())*IMARGUMENT(BI242)</f>
        <v>#NUM!</v>
      </c>
      <c r="BL242" s="51">
        <f t="shared" si="252"/>
        <v>12.834211433968466</v>
      </c>
      <c r="BM242" s="63">
        <f t="shared" si="253"/>
        <v>66.568562605638107</v>
      </c>
    </row>
    <row r="243" spans="14:65" x14ac:dyDescent="0.3">
      <c r="N243" s="11">
        <v>25</v>
      </c>
      <c r="O243" s="52">
        <f t="shared" si="254"/>
        <v>1778.2794100389244</v>
      </c>
      <c r="P243" s="50" t="str">
        <f t="shared" si="206"/>
        <v>23.3035714285714</v>
      </c>
      <c r="Q243" s="18" t="str">
        <f t="shared" si="207"/>
        <v>1+4.23785754393287i</v>
      </c>
      <c r="R243" s="18">
        <f t="shared" si="218"/>
        <v>4.3542435121004353</v>
      </c>
      <c r="S243" s="18">
        <f t="shared" si="219"/>
        <v>1.3390669492859979</v>
      </c>
      <c r="T243" s="18" t="str">
        <f t="shared" si="208"/>
        <v>1+0.0197766685383534i</v>
      </c>
      <c r="U243" s="18">
        <f t="shared" si="220"/>
        <v>1.0001955391914501</v>
      </c>
      <c r="V243" s="18">
        <f t="shared" si="221"/>
        <v>1.977409081533274E-2</v>
      </c>
      <c r="W243" s="32" t="str">
        <f t="shared" si="209"/>
        <v>1-0.0273124110385295i</v>
      </c>
      <c r="X243" s="18">
        <f t="shared" si="222"/>
        <v>1.0003729143658067</v>
      </c>
      <c r="Y243" s="18">
        <f t="shared" si="223"/>
        <v>-2.7305622683578414E-2</v>
      </c>
      <c r="Z243" s="32" t="str">
        <f t="shared" si="210"/>
        <v>0.999987350889359+0.0134048382272181i</v>
      </c>
      <c r="AA243" s="18">
        <f t="shared" si="224"/>
        <v>1.0000771928339411</v>
      </c>
      <c r="AB243" s="18">
        <f t="shared" si="225"/>
        <v>1.3404204941001958E-2</v>
      </c>
      <c r="AC243" s="68" t="str">
        <f t="shared" si="226"/>
        <v>1.12036511152578-5.23602921349129i</v>
      </c>
      <c r="AD243" s="66">
        <f t="shared" si="227"/>
        <v>14.574461717708068</v>
      </c>
      <c r="AE243" s="63">
        <f t="shared" si="228"/>
        <v>-77.922414039712891</v>
      </c>
      <c r="AF243" s="51" t="e">
        <f t="shared" si="229"/>
        <v>#NUM!</v>
      </c>
      <c r="AG243" s="51" t="str">
        <f t="shared" si="211"/>
        <v>1-5.93300056150603i</v>
      </c>
      <c r="AH243" s="51">
        <f t="shared" si="230"/>
        <v>6.0166847734305371</v>
      </c>
      <c r="AI243" s="51">
        <f t="shared" si="231"/>
        <v>-1.4038169658052395</v>
      </c>
      <c r="AJ243" s="51" t="str">
        <f t="shared" si="212"/>
        <v>1+0.0197766685383534i</v>
      </c>
      <c r="AK243" s="51">
        <f t="shared" si="232"/>
        <v>1.0001955391914501</v>
      </c>
      <c r="AL243" s="51">
        <f t="shared" si="233"/>
        <v>1.977409081533274E-2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-0.000170731707317073</v>
      </c>
      <c r="AT243" s="32" t="str">
        <f t="shared" si="215"/>
        <v>0.000424583844326229i</v>
      </c>
      <c r="AU243" s="32">
        <f t="shared" si="239"/>
        <v>4.2458384432622902E-4</v>
      </c>
      <c r="AV243" s="32">
        <f t="shared" si="240"/>
        <v>1.5707963267948966</v>
      </c>
      <c r="AW243" s="32" t="str">
        <f t="shared" si="216"/>
        <v>1+0.090397546467906i</v>
      </c>
      <c r="AX243" s="32">
        <f t="shared" si="241"/>
        <v>1.0040775450170256</v>
      </c>
      <c r="AY243" s="32">
        <f t="shared" si="242"/>
        <v>9.0152512388741585E-2</v>
      </c>
      <c r="AZ243" s="32" t="str">
        <f t="shared" si="217"/>
        <v>1+1.71755338289022i</v>
      </c>
      <c r="BA243" s="32">
        <f t="shared" si="243"/>
        <v>1.9874580808353264</v>
      </c>
      <c r="BB243" s="32">
        <f t="shared" si="244"/>
        <v>1.0435503153227723</v>
      </c>
      <c r="BC243" s="60" t="str">
        <f t="shared" si="245"/>
        <v>-0.64900098687638+0.460783508462094i</v>
      </c>
      <c r="BD243" s="51">
        <f t="shared" si="246"/>
        <v>-1.9823711808517233</v>
      </c>
      <c r="BE243" s="63">
        <f t="shared" si="247"/>
        <v>144.6256703051653</v>
      </c>
      <c r="BF243" s="60" t="str">
        <f t="shared" si="248"/>
        <v>1.68555784836044+3.91443389371678i</v>
      </c>
      <c r="BG243" s="66">
        <f t="shared" si="249"/>
        <v>12.592090536856354</v>
      </c>
      <c r="BH243" s="63">
        <f t="shared" si="250"/>
        <v>66.70325626545241</v>
      </c>
      <c r="BI243" s="60" t="e">
        <f t="shared" si="255"/>
        <v>#NUM!</v>
      </c>
      <c r="BJ243" s="66" t="e">
        <f t="shared" si="251"/>
        <v>#NUM!</v>
      </c>
      <c r="BK243" s="63" t="e">
        <f t="shared" si="256"/>
        <v>#NUM!</v>
      </c>
      <c r="BL243" s="51">
        <f t="shared" si="252"/>
        <v>12.592090536856354</v>
      </c>
      <c r="BM243" s="63">
        <f t="shared" si="253"/>
        <v>66.70325626545241</v>
      </c>
    </row>
    <row r="244" spans="14:65" x14ac:dyDescent="0.3">
      <c r="N244" s="11">
        <v>26</v>
      </c>
      <c r="O244" s="52">
        <f t="shared" si="254"/>
        <v>1819.7008586099832</v>
      </c>
      <c r="P244" s="50" t="str">
        <f t="shared" si="206"/>
        <v>23.3035714285714</v>
      </c>
      <c r="Q244" s="18" t="str">
        <f t="shared" si="207"/>
        <v>1+4.3365699269906i</v>
      </c>
      <c r="R244" s="18">
        <f t="shared" si="218"/>
        <v>4.4503751225800343</v>
      </c>
      <c r="S244" s="18">
        <f t="shared" si="219"/>
        <v>1.3441610107661446</v>
      </c>
      <c r="T244" s="18" t="str">
        <f t="shared" si="208"/>
        <v>1+0.0202373263259561i</v>
      </c>
      <c r="U244" s="18">
        <f t="shared" si="220"/>
        <v>1.0002047537263674</v>
      </c>
      <c r="V244" s="18">
        <f t="shared" si="221"/>
        <v>2.023456427651326E-2</v>
      </c>
      <c r="W244" s="32" t="str">
        <f t="shared" si="209"/>
        <v>1-0.0279485988180185i</v>
      </c>
      <c r="X244" s="18">
        <f t="shared" si="222"/>
        <v>1.0003904858483463</v>
      </c>
      <c r="Y244" s="18">
        <f t="shared" si="223"/>
        <v>-2.7941325117972392E-2</v>
      </c>
      <c r="Z244" s="32" t="str">
        <f t="shared" si="210"/>
        <v>0.999986754755141+0.0137170770205693i</v>
      </c>
      <c r="AA244" s="18">
        <f t="shared" si="224"/>
        <v>1.0000808306770541</v>
      </c>
      <c r="AB244" s="18">
        <f t="shared" si="225"/>
        <v>1.3716398445103408E-2</v>
      </c>
      <c r="AC244" s="68" t="str">
        <f t="shared" si="226"/>
        <v>1.06757858548763-5.12908393552654i</v>
      </c>
      <c r="AD244" s="66">
        <f t="shared" si="227"/>
        <v>14.384984591550396</v>
      </c>
      <c r="AE244" s="63">
        <f t="shared" si="228"/>
        <v>-78.242209513895446</v>
      </c>
      <c r="AF244" s="51" t="e">
        <f t="shared" si="229"/>
        <v>#NUM!</v>
      </c>
      <c r="AG244" s="51" t="str">
        <f t="shared" si="211"/>
        <v>1-6.07119789778685i</v>
      </c>
      <c r="AH244" s="51">
        <f t="shared" si="230"/>
        <v>6.1530028371593879</v>
      </c>
      <c r="AI244" s="51">
        <f t="shared" si="231"/>
        <v>-1.4075499513397689</v>
      </c>
      <c r="AJ244" s="51" t="str">
        <f t="shared" si="212"/>
        <v>1+0.0202373263259561i</v>
      </c>
      <c r="AK244" s="51">
        <f t="shared" si="232"/>
        <v>1.0002047537263674</v>
      </c>
      <c r="AL244" s="51">
        <f t="shared" si="233"/>
        <v>2.023456427651326E-2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-0.000170731707317073</v>
      </c>
      <c r="AT244" s="32" t="str">
        <f t="shared" si="215"/>
        <v>0.000434473672534652i</v>
      </c>
      <c r="AU244" s="32">
        <f t="shared" si="239"/>
        <v>4.3447367253465199E-4</v>
      </c>
      <c r="AV244" s="32">
        <f t="shared" si="240"/>
        <v>1.5707963267948966</v>
      </c>
      <c r="AW244" s="32" t="str">
        <f t="shared" si="216"/>
        <v>1+0.0925031758199813i</v>
      </c>
      <c r="AX244" s="32">
        <f t="shared" si="241"/>
        <v>1.0042693052845848</v>
      </c>
      <c r="AY244" s="32">
        <f t="shared" si="242"/>
        <v>9.2240677319608014E-2</v>
      </c>
      <c r="AZ244" s="32" t="str">
        <f t="shared" si="217"/>
        <v>1+1.75756034057965i</v>
      </c>
      <c r="BA244" s="32">
        <f t="shared" si="243"/>
        <v>2.0221321299011241</v>
      </c>
      <c r="BB244" s="32">
        <f t="shared" si="244"/>
        <v>1.0535051761506313</v>
      </c>
      <c r="BC244" s="60" t="str">
        <f t="shared" si="245"/>
        <v>-0.648753163467994+0.452973875272909i</v>
      </c>
      <c r="BD244" s="51">
        <f t="shared" si="246"/>
        <v>-2.0337988180676478</v>
      </c>
      <c r="BE244" s="63">
        <f t="shared" si="247"/>
        <v>145.07639877877591</v>
      </c>
      <c r="BF244" s="60" t="str">
        <f t="shared" si="248"/>
        <v>1.63074604228969+3.81109463789241i</v>
      </c>
      <c r="BG244" s="66">
        <f t="shared" si="249"/>
        <v>12.351185773482737</v>
      </c>
      <c r="BH244" s="63">
        <f t="shared" si="250"/>
        <v>66.834189264880479</v>
      </c>
      <c r="BI244" s="60" t="e">
        <f t="shared" si="255"/>
        <v>#NUM!</v>
      </c>
      <c r="BJ244" s="66" t="e">
        <f t="shared" si="251"/>
        <v>#NUM!</v>
      </c>
      <c r="BK244" s="63" t="e">
        <f t="shared" si="256"/>
        <v>#NUM!</v>
      </c>
      <c r="BL244" s="51">
        <f t="shared" si="252"/>
        <v>12.351185773482737</v>
      </c>
      <c r="BM244" s="63">
        <f t="shared" si="253"/>
        <v>66.834189264880479</v>
      </c>
    </row>
    <row r="245" spans="14:65" x14ac:dyDescent="0.3">
      <c r="N245" s="11">
        <v>27</v>
      </c>
      <c r="O245" s="52">
        <f t="shared" si="254"/>
        <v>1862.0871366628687</v>
      </c>
      <c r="P245" s="50" t="str">
        <f t="shared" si="206"/>
        <v>23.3035714285714</v>
      </c>
      <c r="Q245" s="18" t="str">
        <f t="shared" si="207"/>
        <v>1+4.43758161682494i</v>
      </c>
      <c r="R245" s="18">
        <f t="shared" si="218"/>
        <v>4.5488603634297951</v>
      </c>
      <c r="S245" s="18">
        <f t="shared" si="219"/>
        <v>1.3491507082265404</v>
      </c>
      <c r="T245" s="18" t="str">
        <f t="shared" si="208"/>
        <v>1+0.0207087142118497i</v>
      </c>
      <c r="U245" s="18">
        <f t="shared" si="220"/>
        <v>1.0002144024379513</v>
      </c>
      <c r="V245" s="18">
        <f t="shared" si="221"/>
        <v>2.0705754656812229E-2</v>
      </c>
      <c r="W245" s="32" t="str">
        <f t="shared" si="209"/>
        <v>1-0.0285996053145445i</v>
      </c>
      <c r="X245" s="18">
        <f t="shared" si="222"/>
        <v>1.0004088851185537</v>
      </c>
      <c r="Y245" s="18">
        <f t="shared" si="223"/>
        <v>-2.8591811576560218E-2</v>
      </c>
      <c r="Z245" s="32" t="str">
        <f t="shared" si="210"/>
        <v>0.999986130525982+0.014036588789724i</v>
      </c>
      <c r="AA245" s="18">
        <f t="shared" si="224"/>
        <v>1.0000846399526282</v>
      </c>
      <c r="AB245" s="18">
        <f t="shared" si="225"/>
        <v>1.4035861686311447E-2</v>
      </c>
      <c r="AC245" s="68" t="str">
        <f t="shared" si="226"/>
        <v>1.01693271250967-5.02381516278195i</v>
      </c>
      <c r="AD245" s="66">
        <f t="shared" si="227"/>
        <v>14.195075323069513</v>
      </c>
      <c r="AE245" s="63">
        <f t="shared" si="228"/>
        <v>-78.556674923423273</v>
      </c>
      <c r="AF245" s="51" t="e">
        <f t="shared" si="229"/>
        <v>#NUM!</v>
      </c>
      <c r="AG245" s="51" t="str">
        <f t="shared" si="211"/>
        <v>1-6.21261426355493i</v>
      </c>
      <c r="AH245" s="51">
        <f t="shared" si="230"/>
        <v>6.2925810275058174</v>
      </c>
      <c r="AI245" s="51">
        <f t="shared" si="231"/>
        <v>-1.411202404927079</v>
      </c>
      <c r="AJ245" s="51" t="str">
        <f t="shared" si="212"/>
        <v>1+0.0207087142118497i</v>
      </c>
      <c r="AK245" s="51">
        <f t="shared" si="232"/>
        <v>1.0002144024379513</v>
      </c>
      <c r="AL245" s="51">
        <f t="shared" si="233"/>
        <v>2.0705754656812229E-2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-0.000170731707317073</v>
      </c>
      <c r="AT245" s="32" t="str">
        <f t="shared" si="215"/>
        <v>0.000444593864435193i</v>
      </c>
      <c r="AU245" s="32">
        <f t="shared" si="239"/>
        <v>4.4459386443519299E-4</v>
      </c>
      <c r="AV245" s="32">
        <f t="shared" si="240"/>
        <v>1.5707963267948966</v>
      </c>
      <c r="AW245" s="32" t="str">
        <f t="shared" si="216"/>
        <v>1+0.0946578515803013i</v>
      </c>
      <c r="AX245" s="32">
        <f t="shared" si="241"/>
        <v>1.0044700636981665</v>
      </c>
      <c r="AY245" s="32">
        <f t="shared" si="242"/>
        <v>9.4376646928795341E-2</v>
      </c>
      <c r="AZ245" s="32" t="str">
        <f t="shared" si="217"/>
        <v>1+1.79849918002573i</v>
      </c>
      <c r="BA245" s="32">
        <f t="shared" si="243"/>
        <v>2.0578142045756276</v>
      </c>
      <c r="BB245" s="32">
        <f t="shared" si="244"/>
        <v>1.0633436297718086</v>
      </c>
      <c r="BC245" s="60" t="str">
        <f t="shared" si="245"/>
        <v>-0.648493863275511+0.445402272657153i</v>
      </c>
      <c r="BD245" s="51">
        <f t="shared" si="246"/>
        <v>-2.0836023784304194</v>
      </c>
      <c r="BE245" s="63">
        <f t="shared" si="247"/>
        <v>145.51771860442986</v>
      </c>
      <c r="BF245" s="60" t="str">
        <f t="shared" si="248"/>
        <v>1.5781440674859+3.71085744458577i</v>
      </c>
      <c r="BG245" s="66">
        <f t="shared" si="249"/>
        <v>12.111472944639095</v>
      </c>
      <c r="BH245" s="63">
        <f t="shared" si="250"/>
        <v>66.961043681006672</v>
      </c>
      <c r="BI245" s="60" t="e">
        <f t="shared" si="255"/>
        <v>#NUM!</v>
      </c>
      <c r="BJ245" s="66" t="e">
        <f t="shared" si="251"/>
        <v>#NUM!</v>
      </c>
      <c r="BK245" s="63" t="e">
        <f t="shared" si="256"/>
        <v>#NUM!</v>
      </c>
      <c r="BL245" s="51">
        <f t="shared" si="252"/>
        <v>12.111472944639095</v>
      </c>
      <c r="BM245" s="63">
        <f t="shared" si="253"/>
        <v>66.961043681006672</v>
      </c>
    </row>
    <row r="246" spans="14:65" x14ac:dyDescent="0.3">
      <c r="N246" s="11">
        <v>28</v>
      </c>
      <c r="O246" s="52">
        <f t="shared" si="254"/>
        <v>1905.4607179632501</v>
      </c>
      <c r="P246" s="50" t="str">
        <f t="shared" si="206"/>
        <v>23.3035714285714</v>
      </c>
      <c r="Q246" s="18" t="str">
        <f t="shared" si="207"/>
        <v>1+4.5409461711709i</v>
      </c>
      <c r="R246" s="18">
        <f t="shared" si="218"/>
        <v>4.6497518352565494</v>
      </c>
      <c r="S246" s="18">
        <f t="shared" si="219"/>
        <v>1.3540376929924789</v>
      </c>
      <c r="T246" s="18" t="str">
        <f t="shared" si="208"/>
        <v>1+0.0211910821321309i</v>
      </c>
      <c r="U246" s="18">
        <f t="shared" si="220"/>
        <v>1.0002245057795427</v>
      </c>
      <c r="V246" s="18">
        <f t="shared" si="221"/>
        <v>2.1187910950215466E-2</v>
      </c>
      <c r="W246" s="32" t="str">
        <f t="shared" si="209"/>
        <v>1-0.029265775700369i</v>
      </c>
      <c r="X246" s="18">
        <f t="shared" si="222"/>
        <v>1.0004281511569655</v>
      </c>
      <c r="Y246" s="18">
        <f t="shared" si="223"/>
        <v>-2.9257424752675638E-2</v>
      </c>
      <c r="Z246" s="32" t="str">
        <f t="shared" si="210"/>
        <v>0.999985476877809+0.0143635429440512i</v>
      </c>
      <c r="AA246" s="18">
        <f t="shared" si="224"/>
        <v>1.0000886287386956</v>
      </c>
      <c r="AB246" s="18">
        <f t="shared" si="225"/>
        <v>1.436276384240948E-2</v>
      </c>
      <c r="AC246" s="68" t="str">
        <f t="shared" si="226"/>
        <v>0.968350354849944-4.92023002597063i</v>
      </c>
      <c r="AD246" s="66">
        <f t="shared" si="227"/>
        <v>14.004752309144283</v>
      </c>
      <c r="AE246" s="63">
        <f t="shared" si="228"/>
        <v>-78.865919944016412</v>
      </c>
      <c r="AF246" s="51" t="e">
        <f t="shared" si="229"/>
        <v>#NUM!</v>
      </c>
      <c r="AG246" s="51" t="str">
        <f t="shared" si="211"/>
        <v>1-6.35732463963927i</v>
      </c>
      <c r="AH246" s="51">
        <f t="shared" si="230"/>
        <v>6.4354934988518613</v>
      </c>
      <c r="AI246" s="51">
        <f t="shared" si="231"/>
        <v>-1.4147758731464515</v>
      </c>
      <c r="AJ246" s="51" t="str">
        <f t="shared" si="212"/>
        <v>1+0.0211910821321309i</v>
      </c>
      <c r="AK246" s="51">
        <f t="shared" si="232"/>
        <v>1.0002245057795427</v>
      </c>
      <c r="AL246" s="51">
        <f t="shared" si="233"/>
        <v>2.1187910950215466E-2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-0.000170731707317073</v>
      </c>
      <c r="AT246" s="32" t="str">
        <f t="shared" si="215"/>
        <v>0.000454949785887553i</v>
      </c>
      <c r="AU246" s="32">
        <f t="shared" si="239"/>
        <v>4.5494978588755302E-4</v>
      </c>
      <c r="AV246" s="32">
        <f t="shared" si="240"/>
        <v>1.5707963267948966</v>
      </c>
      <c r="AW246" s="32" t="str">
        <f t="shared" si="216"/>
        <v>1+0.0968627161864748i</v>
      </c>
      <c r="AX246" s="32">
        <f t="shared" si="241"/>
        <v>1.0046802405676254</v>
      </c>
      <c r="AY246" s="32">
        <f t="shared" si="242"/>
        <v>9.6561475732050997E-2</v>
      </c>
      <c r="AZ246" s="32" t="str">
        <f t="shared" si="217"/>
        <v>1+1.84039160754303i</v>
      </c>
      <c r="BA246" s="32">
        <f t="shared" si="243"/>
        <v>2.0945265023663024</v>
      </c>
      <c r="BB246" s="32">
        <f t="shared" si="244"/>
        <v>1.0730632734580625</v>
      </c>
      <c r="BC246" s="60" t="str">
        <f t="shared" si="245"/>
        <v>-0.648222564711295+0.438064535597423i</v>
      </c>
      <c r="BD246" s="51">
        <f t="shared" si="246"/>
        <v>-2.1318256532102264</v>
      </c>
      <c r="BE246" s="63">
        <f t="shared" si="247"/>
        <v>145.9494316966381</v>
      </c>
      <c r="BF246" s="60" t="str">
        <f t="shared" si="248"/>
        <v>1.5276717307994+3.61360407489714i</v>
      </c>
      <c r="BG246" s="66">
        <f t="shared" si="249"/>
        <v>11.872926655934052</v>
      </c>
      <c r="BH246" s="63">
        <f t="shared" si="250"/>
        <v>67.083511752621632</v>
      </c>
      <c r="BI246" s="60" t="e">
        <f t="shared" si="255"/>
        <v>#NUM!</v>
      </c>
      <c r="BJ246" s="66" t="e">
        <f t="shared" si="251"/>
        <v>#NUM!</v>
      </c>
      <c r="BK246" s="63" t="e">
        <f t="shared" si="256"/>
        <v>#NUM!</v>
      </c>
      <c r="BL246" s="51">
        <f t="shared" si="252"/>
        <v>11.872926655934052</v>
      </c>
      <c r="BM246" s="63">
        <f t="shared" si="253"/>
        <v>67.083511752621632</v>
      </c>
    </row>
    <row r="247" spans="14:65" x14ac:dyDescent="0.3">
      <c r="N247" s="11">
        <v>29</v>
      </c>
      <c r="O247" s="52">
        <f t="shared" si="254"/>
        <v>1949.8445997580463</v>
      </c>
      <c r="P247" s="50" t="str">
        <f t="shared" si="206"/>
        <v>23.3035714285714</v>
      </c>
      <c r="Q247" s="18" t="str">
        <f t="shared" si="207"/>
        <v>1+4.64671839528327i</v>
      </c>
      <c r="R247" s="18">
        <f t="shared" si="218"/>
        <v>4.7531033909503719</v>
      </c>
      <c r="S247" s="18">
        <f t="shared" si="219"/>
        <v>1.3588236220711276</v>
      </c>
      <c r="T247" s="18" t="str">
        <f t="shared" si="208"/>
        <v>1+0.0216846858446553i</v>
      </c>
      <c r="U247" s="18">
        <f t="shared" si="220"/>
        <v>1.0002350851675728</v>
      </c>
      <c r="V247" s="18">
        <f t="shared" si="221"/>
        <v>2.1681287905143998E-2</v>
      </c>
      <c r="W247" s="32" t="str">
        <f t="shared" si="209"/>
        <v>1-0.0299474631878478i</v>
      </c>
      <c r="X247" s="18">
        <f t="shared" si="222"/>
        <v>1.0004483247781404</v>
      </c>
      <c r="Y247" s="18">
        <f t="shared" si="223"/>
        <v>-2.9938515202733506E-2</v>
      </c>
      <c r="Z247" s="32" t="str">
        <f t="shared" si="210"/>
        <v>0.999984792424147+0.0146981128389712i</v>
      </c>
      <c r="AA247" s="18">
        <f t="shared" si="224"/>
        <v>1.0000928054938658</v>
      </c>
      <c r="AB247" s="18">
        <f t="shared" si="225"/>
        <v>1.4697278020674718E-2</v>
      </c>
      <c r="AC247" s="68" t="str">
        <f t="shared" si="226"/>
        <v>0.921756333975004-4.81833301928375i</v>
      </c>
      <c r="AD247" s="66">
        <f t="shared" si="227"/>
        <v>13.814033317165199</v>
      </c>
      <c r="AE247" s="63">
        <f t="shared" si="228"/>
        <v>-79.170054922902395</v>
      </c>
      <c r="AF247" s="51" t="e">
        <f t="shared" si="229"/>
        <v>#NUM!</v>
      </c>
      <c r="AG247" s="51" t="str">
        <f t="shared" si="211"/>
        <v>1-6.5054057533966i</v>
      </c>
      <c r="AH247" s="51">
        <f t="shared" si="230"/>
        <v>6.5818161639721895</v>
      </c>
      <c r="AI247" s="51">
        <f t="shared" si="231"/>
        <v>-1.4182718854554102</v>
      </c>
      <c r="AJ247" s="51" t="str">
        <f t="shared" si="212"/>
        <v>1+0.0216846858446553i</v>
      </c>
      <c r="AK247" s="51">
        <f t="shared" si="232"/>
        <v>1.0002350851675728</v>
      </c>
      <c r="AL247" s="51">
        <f t="shared" si="233"/>
        <v>2.1681287905143998E-2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-0.000170731707317073</v>
      </c>
      <c r="AT247" s="32" t="str">
        <f t="shared" si="215"/>
        <v>0.000465546927738362i</v>
      </c>
      <c r="AU247" s="32">
        <f t="shared" si="239"/>
        <v>4.6554692773836199E-4</v>
      </c>
      <c r="AV247" s="32">
        <f t="shared" si="240"/>
        <v>1.5707963267948966</v>
      </c>
      <c r="AW247" s="32" t="str">
        <f t="shared" si="216"/>
        <v>1+0.0991189386868987i</v>
      </c>
      <c r="AX247" s="32">
        <f t="shared" si="241"/>
        <v>1.0049002756524734</v>
      </c>
      <c r="AY247" s="32">
        <f t="shared" si="242"/>
        <v>9.8796238674745615E-2</v>
      </c>
      <c r="AZ247" s="32" t="str">
        <f t="shared" si="217"/>
        <v>1+1.88325983505108i</v>
      </c>
      <c r="BA247" s="32">
        <f t="shared" si="243"/>
        <v>2.1322916325673238</v>
      </c>
      <c r="BB247" s="32">
        <f t="shared" si="244"/>
        <v>1.0826619141116622</v>
      </c>
      <c r="BC247" s="60" t="str">
        <f t="shared" si="245"/>
        <v>-0.647938723428703+0.430956612645477i</v>
      </c>
      <c r="BD247" s="51">
        <f t="shared" si="246"/>
        <v>-2.1785128871680719</v>
      </c>
      <c r="BE247" s="63">
        <f t="shared" si="247"/>
        <v>146.37135081032338</v>
      </c>
      <c r="BF247" s="60" t="str">
        <f t="shared" si="248"/>
        <v>1.47925085424029+3.51922153294346i</v>
      </c>
      <c r="BG247" s="66">
        <f t="shared" si="249"/>
        <v>11.635520429997124</v>
      </c>
      <c r="BH247" s="63">
        <f t="shared" si="250"/>
        <v>67.201295887421054</v>
      </c>
      <c r="BI247" s="60" t="e">
        <f t="shared" si="255"/>
        <v>#NUM!</v>
      </c>
      <c r="BJ247" s="66" t="e">
        <f t="shared" si="251"/>
        <v>#NUM!</v>
      </c>
      <c r="BK247" s="63" t="e">
        <f t="shared" si="256"/>
        <v>#NUM!</v>
      </c>
      <c r="BL247" s="51">
        <f t="shared" si="252"/>
        <v>11.635520429997124</v>
      </c>
      <c r="BM247" s="63">
        <f t="shared" si="253"/>
        <v>67.201295887421054</v>
      </c>
    </row>
    <row r="248" spans="14:65" x14ac:dyDescent="0.3">
      <c r="N248" s="11">
        <v>30</v>
      </c>
      <c r="O248" s="52">
        <f t="shared" si="254"/>
        <v>1995.2623149688804</v>
      </c>
      <c r="P248" s="50" t="str">
        <f t="shared" si="206"/>
        <v>23.3035714285714</v>
      </c>
      <c r="Q248" s="18" t="str">
        <f t="shared" si="207"/>
        <v>1+4.75495437099545i</v>
      </c>
      <c r="R248" s="18">
        <f t="shared" si="218"/>
        <v>4.8589701656059523</v>
      </c>
      <c r="S248" s="18">
        <f t="shared" si="219"/>
        <v>1.3635101556440015</v>
      </c>
      <c r="T248" s="18" t="str">
        <f t="shared" si="208"/>
        <v>1+0.0221897870646454i</v>
      </c>
      <c r="U248" s="18">
        <f t="shared" si="220"/>
        <v>1.0002461630268693</v>
      </c>
      <c r="V248" s="18">
        <f t="shared" si="221"/>
        <v>2.2186146155253859E-2</v>
      </c>
      <c r="W248" s="32" t="str">
        <f t="shared" si="209"/>
        <v>1-0.0306450292167106i</v>
      </c>
      <c r="X248" s="18">
        <f t="shared" si="222"/>
        <v>1.0004694487167975</v>
      </c>
      <c r="Y248" s="18">
        <f t="shared" si="223"/>
        <v>-3.063544152088335E-2</v>
      </c>
      <c r="Z248" s="32" t="str">
        <f t="shared" si="210"/>
        <v>0.999984075713178+0.015040475867871i</v>
      </c>
      <c r="AA248" s="18">
        <f t="shared" si="224"/>
        <v>1.0000971790752491</v>
      </c>
      <c r="AB248" s="18">
        <f t="shared" si="225"/>
        <v>1.5039581348610038E-2</v>
      </c>
      <c r="AC248" s="68" t="str">
        <f t="shared" si="226"/>
        <v>0.877077454284639-4.71812617266181i</v>
      </c>
      <c r="AD248" s="66">
        <f t="shared" si="227"/>
        <v>13.622935502854371</v>
      </c>
      <c r="AE248" s="63">
        <f t="shared" si="228"/>
        <v>-79.469190742856313</v>
      </c>
      <c r="AF248" s="51" t="e">
        <f t="shared" si="229"/>
        <v>#NUM!</v>
      </c>
      <c r="AG248" s="51" t="str">
        <f t="shared" si="211"/>
        <v>1-6.65693611939365i</v>
      </c>
      <c r="AH248" s="51">
        <f t="shared" si="230"/>
        <v>6.7316267348752916</v>
      </c>
      <c r="AI248" s="51">
        <f t="shared" si="231"/>
        <v>-1.4216919534815318</v>
      </c>
      <c r="AJ248" s="51" t="str">
        <f t="shared" si="212"/>
        <v>1+0.0221897870646454i</v>
      </c>
      <c r="AK248" s="51">
        <f t="shared" si="232"/>
        <v>1.0002461630268693</v>
      </c>
      <c r="AL248" s="51">
        <f t="shared" si="233"/>
        <v>2.2186146155253859E-2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-0.000170731707317073</v>
      </c>
      <c r="AT248" s="32" t="str">
        <f t="shared" si="215"/>
        <v>0.000476390908732501i</v>
      </c>
      <c r="AU248" s="32">
        <f t="shared" si="239"/>
        <v>4.7639090873250102E-4</v>
      </c>
      <c r="AV248" s="32">
        <f t="shared" si="240"/>
        <v>1.5707963267948966</v>
      </c>
      <c r="AW248" s="32" t="str">
        <f t="shared" si="216"/>
        <v>1+0.101427715360609i</v>
      </c>
      <c r="AX248" s="32">
        <f t="shared" si="241"/>
        <v>1.0051306290444406</v>
      </c>
      <c r="AY248" s="32">
        <f t="shared" si="242"/>
        <v>0.10108203132250373</v>
      </c>
      <c r="AZ248" s="32" t="str">
        <f t="shared" si="217"/>
        <v>1+1.92712659185158i</v>
      </c>
      <c r="BA248" s="32">
        <f t="shared" si="243"/>
        <v>2.1711326309144465</v>
      </c>
      <c r="BB248" s="32">
        <f t="shared" si="244"/>
        <v>1.0921375653731487</v>
      </c>
      <c r="BC248" s="60" t="str">
        <f t="shared" si="245"/>
        <v>-0.647641771419718+0.424074563067693i</v>
      </c>
      <c r="BD248" s="51">
        <f t="shared" si="246"/>
        <v>-2.2237086879333652</v>
      </c>
      <c r="BE248" s="63">
        <f t="shared" si="247"/>
        <v>146.78329936418584</v>
      </c>
      <c r="BF248" s="60" t="str">
        <f t="shared" si="248"/>
        <v>1.4328052990046+3.42760183044671i</v>
      </c>
      <c r="BG248" s="66">
        <f t="shared" si="249"/>
        <v>11.399226814921001</v>
      </c>
      <c r="BH248" s="63">
        <f t="shared" si="250"/>
        <v>67.314108621329581</v>
      </c>
      <c r="BI248" s="60" t="e">
        <f t="shared" si="255"/>
        <v>#NUM!</v>
      </c>
      <c r="BJ248" s="66" t="e">
        <f t="shared" si="251"/>
        <v>#NUM!</v>
      </c>
      <c r="BK248" s="63" t="e">
        <f t="shared" si="256"/>
        <v>#NUM!</v>
      </c>
      <c r="BL248" s="51">
        <f t="shared" si="252"/>
        <v>11.399226814921001</v>
      </c>
      <c r="BM248" s="63">
        <f t="shared" si="253"/>
        <v>67.314108621329581</v>
      </c>
    </row>
    <row r="249" spans="14:65" x14ac:dyDescent="0.3">
      <c r="N249" s="11">
        <v>31</v>
      </c>
      <c r="O249" s="52">
        <f t="shared" si="254"/>
        <v>2041.7379446695318</v>
      </c>
      <c r="P249" s="50" t="str">
        <f t="shared" si="206"/>
        <v>23.3035714285714</v>
      </c>
      <c r="Q249" s="18" t="str">
        <f t="shared" si="207"/>
        <v>1+4.86571148645437i</v>
      </c>
      <c r="R249" s="18">
        <f t="shared" si="218"/>
        <v>4.9674086070519703</v>
      </c>
      <c r="S249" s="18">
        <f t="shared" si="219"/>
        <v>1.3680989547255786</v>
      </c>
      <c r="T249" s="18" t="str">
        <f t="shared" si="208"/>
        <v>1+0.0227066536034537i</v>
      </c>
      <c r="U249" s="18">
        <f t="shared" si="220"/>
        <v>1.0002577628380933</v>
      </c>
      <c r="V249" s="18">
        <f t="shared" si="221"/>
        <v>2.2702752353047952E-2</v>
      </c>
      <c r="W249" s="32" t="str">
        <f t="shared" si="209"/>
        <v>1-0.0313588436456988i</v>
      </c>
      <c r="X249" s="18">
        <f t="shared" si="222"/>
        <v>1.0004915677179871</v>
      </c>
      <c r="Y249" s="18">
        <f t="shared" si="223"/>
        <v>-3.1348570517122309E-2</v>
      </c>
      <c r="Z249" s="32" t="str">
        <f t="shared" si="210"/>
        <v>0.999983325224661+0.0153908135561602i</v>
      </c>
      <c r="AA249" s="18">
        <f t="shared" si="224"/>
        <v>1.000101758757223</v>
      </c>
      <c r="AB249" s="18">
        <f t="shared" si="225"/>
        <v>1.5389855066731821E-2</v>
      </c>
      <c r="AC249" s="68" t="str">
        <f t="shared" si="226"/>
        <v>0.834242518365318-4.61960921754453i</v>
      </c>
      <c r="AD249" s="66">
        <f t="shared" si="227"/>
        <v>13.431475428298366</v>
      </c>
      <c r="AE249" s="63">
        <f t="shared" si="228"/>
        <v>-79.763438695915909</v>
      </c>
      <c r="AF249" s="51" t="e">
        <f t="shared" si="229"/>
        <v>#NUM!</v>
      </c>
      <c r="AG249" s="51" t="str">
        <f t="shared" si="211"/>
        <v>1-6.81199608103613i</v>
      </c>
      <c r="AH249" s="51">
        <f t="shared" si="230"/>
        <v>6.8850047645627388</v>
      </c>
      <c r="AI249" s="51">
        <f t="shared" si="231"/>
        <v>-1.4250375703924254</v>
      </c>
      <c r="AJ249" s="51" t="str">
        <f t="shared" si="212"/>
        <v>1+0.0227066536034537i</v>
      </c>
      <c r="AK249" s="51">
        <f t="shared" si="232"/>
        <v>1.0002577628380933</v>
      </c>
      <c r="AL249" s="51">
        <f t="shared" si="233"/>
        <v>2.2702752353047952E-2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-0.000170731707317073</v>
      </c>
      <c r="AT249" s="32" t="str">
        <f t="shared" si="215"/>
        <v>0.000487487478492229i</v>
      </c>
      <c r="AU249" s="32">
        <f t="shared" si="239"/>
        <v>4.8748747849222901E-4</v>
      </c>
      <c r="AV249" s="32">
        <f t="shared" si="240"/>
        <v>1.5707963267948966</v>
      </c>
      <c r="AW249" s="32" t="str">
        <f t="shared" si="216"/>
        <v>1+0.103790270351558i</v>
      </c>
      <c r="AX249" s="32">
        <f t="shared" si="241"/>
        <v>1.005371782088422</v>
      </c>
      <c r="AY249" s="32">
        <f t="shared" si="242"/>
        <v>0.10341997003709752</v>
      </c>
      <c r="AZ249" s="32" t="str">
        <f t="shared" si="217"/>
        <v>1+1.97201513667961i</v>
      </c>
      <c r="BA249" s="32">
        <f t="shared" si="243"/>
        <v>2.2110729746649027</v>
      </c>
      <c r="BB249" s="32">
        <f t="shared" si="244"/>
        <v>1.1014884441092085</v>
      </c>
      <c r="BC249" s="60" t="str">
        <f t="shared" si="245"/>
        <v>-0.647331116085534+0.41741455400339i</v>
      </c>
      <c r="BD249" s="51">
        <f t="shared" si="246"/>
        <v>-2.2674579397541867</v>
      </c>
      <c r="BE249" s="63">
        <f t="shared" si="247"/>
        <v>147.18511122939424</v>
      </c>
      <c r="BF249" s="60" t="str">
        <f t="shared" si="248"/>
        <v>1.38826098071187+3.33864175940624i</v>
      </c>
      <c r="BG249" s="66">
        <f t="shared" si="249"/>
        <v>11.164017488544172</v>
      </c>
      <c r="BH249" s="63">
        <f t="shared" si="250"/>
        <v>67.421672533478315</v>
      </c>
      <c r="BI249" s="60" t="e">
        <f t="shared" si="255"/>
        <v>#NUM!</v>
      </c>
      <c r="BJ249" s="66" t="e">
        <f t="shared" si="251"/>
        <v>#NUM!</v>
      </c>
      <c r="BK249" s="63" t="e">
        <f t="shared" si="256"/>
        <v>#NUM!</v>
      </c>
      <c r="BL249" s="51">
        <f t="shared" si="252"/>
        <v>11.164017488544172</v>
      </c>
      <c r="BM249" s="63">
        <f t="shared" si="253"/>
        <v>67.421672533478315</v>
      </c>
    </row>
    <row r="250" spans="14:65" x14ac:dyDescent="0.3">
      <c r="N250" s="11">
        <v>32</v>
      </c>
      <c r="O250" s="52">
        <f t="shared" si="254"/>
        <v>2089.2961308540398</v>
      </c>
      <c r="P250" s="50" t="str">
        <f t="shared" si="206"/>
        <v>23.3035714285714</v>
      </c>
      <c r="Q250" s="18" t="str">
        <f t="shared" si="207"/>
        <v>1+4.97904846654876i</v>
      </c>
      <c r="R250" s="18">
        <f t="shared" si="218"/>
        <v>5.0784765070089239</v>
      </c>
      <c r="S250" s="18">
        <f t="shared" si="219"/>
        <v>1.3725916789816659</v>
      </c>
      <c r="T250" s="18" t="str">
        <f t="shared" si="208"/>
        <v>1+0.0232355595105609i</v>
      </c>
      <c r="U250" s="18">
        <f t="shared" si="220"/>
        <v>1.0002699091873997</v>
      </c>
      <c r="V250" s="18">
        <f t="shared" si="221"/>
        <v>2.3231379306355521E-2</v>
      </c>
      <c r="W250" s="32" t="str">
        <f t="shared" si="209"/>
        <v>1-0.0320892849486716i</v>
      </c>
      <c r="X250" s="18">
        <f t="shared" si="222"/>
        <v>1.0005147286314764</v>
      </c>
      <c r="Y250" s="18">
        <f t="shared" si="223"/>
        <v>-3.2078277398913724E-2</v>
      </c>
      <c r="Z250" s="32" t="str">
        <f t="shared" si="210"/>
        <v>0.99998253936671+0.0157493116575184i</v>
      </c>
      <c r="AA250" s="18">
        <f t="shared" si="224"/>
        <v>1.0001065542510856</v>
      </c>
      <c r="AB250" s="18">
        <f t="shared" si="225"/>
        <v>1.5748284623458585E-2</v>
      </c>
      <c r="AC250" s="68" t="str">
        <f t="shared" si="226"/>
        <v>0.793182334533302-4.52277974600409i</v>
      </c>
      <c r="AD250" s="66">
        <f t="shared" si="227"/>
        <v>13.239669080124305</v>
      </c>
      <c r="AE250" s="63">
        <f t="shared" si="228"/>
        <v>-80.052910366405882</v>
      </c>
      <c r="AF250" s="51" t="e">
        <f t="shared" si="229"/>
        <v>#NUM!</v>
      </c>
      <c r="AG250" s="51" t="str">
        <f t="shared" si="211"/>
        <v>1-6.97066785316828i</v>
      </c>
      <c r="AH250" s="51">
        <f t="shared" si="230"/>
        <v>7.0420316897322799</v>
      </c>
      <c r="AI250" s="51">
        <f t="shared" si="231"/>
        <v>-1.4283102103391307</v>
      </c>
      <c r="AJ250" s="51" t="str">
        <f t="shared" si="212"/>
        <v>1+0.0232355595105609i</v>
      </c>
      <c r="AK250" s="51">
        <f t="shared" si="232"/>
        <v>1.0002699091873997</v>
      </c>
      <c r="AL250" s="51">
        <f t="shared" si="233"/>
        <v>2.3231379306355521E-2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-0.000170731707317073</v>
      </c>
      <c r="AT250" s="32" t="str">
        <f t="shared" si="215"/>
        <v>0.000498842520565712i</v>
      </c>
      <c r="AU250" s="32">
        <f t="shared" si="239"/>
        <v>4.9884252056571195E-4</v>
      </c>
      <c r="AV250" s="32">
        <f t="shared" si="240"/>
        <v>1.5707963267948966</v>
      </c>
      <c r="AW250" s="32" t="str">
        <f t="shared" si="216"/>
        <v>1+0.106207856317675i</v>
      </c>
      <c r="AX250" s="32">
        <f t="shared" si="241"/>
        <v>1.0056242383433267</v>
      </c>
      <c r="AY250" s="32">
        <f t="shared" si="242"/>
        <v>0.10581119213605641</v>
      </c>
      <c r="AZ250" s="32" t="str">
        <f t="shared" si="217"/>
        <v>1+2.01794927003583i</v>
      </c>
      <c r="BA250" s="32">
        <f t="shared" si="243"/>
        <v>2.2521365980859462</v>
      </c>
      <c r="BB250" s="32">
        <f t="shared" si="244"/>
        <v>1.1107129663357473</v>
      </c>
      <c r="BC250" s="60" t="str">
        <f t="shared" si="245"/>
        <v>-0.647006139280409+0.410972857631742i</v>
      </c>
      <c r="BD250" s="51">
        <f t="shared" si="246"/>
        <v>-2.3098057218915882</v>
      </c>
      <c r="BE250" s="63">
        <f t="shared" si="247"/>
        <v>147.57663048685069</v>
      </c>
      <c r="BF250" s="60" t="str">
        <f t="shared" si="248"/>
        <v>1.34554587664245+3.2522426729239i</v>
      </c>
      <c r="BG250" s="66">
        <f t="shared" si="249"/>
        <v>10.92986335823271</v>
      </c>
      <c r="BH250" s="63">
        <f t="shared" si="250"/>
        <v>67.523720120444821</v>
      </c>
      <c r="BI250" s="60" t="e">
        <f t="shared" si="255"/>
        <v>#NUM!</v>
      </c>
      <c r="BJ250" s="66" t="e">
        <f t="shared" si="251"/>
        <v>#NUM!</v>
      </c>
      <c r="BK250" s="63" t="e">
        <f t="shared" si="256"/>
        <v>#NUM!</v>
      </c>
      <c r="BL250" s="51">
        <f t="shared" si="252"/>
        <v>10.92986335823271</v>
      </c>
      <c r="BM250" s="63">
        <f t="shared" si="253"/>
        <v>67.523720120444821</v>
      </c>
    </row>
    <row r="251" spans="14:65" x14ac:dyDescent="0.3">
      <c r="N251" s="11">
        <v>33</v>
      </c>
      <c r="O251" s="52">
        <f t="shared" si="254"/>
        <v>2137.9620895022344</v>
      </c>
      <c r="P251" s="50" t="str">
        <f t="shared" si="206"/>
        <v>23.3035714285714</v>
      </c>
      <c r="Q251" s="18" t="str">
        <f t="shared" si="207"/>
        <v>1+5.09502540404556i</v>
      </c>
      <c r="R251" s="18">
        <f t="shared" si="218"/>
        <v>5.1922330328934221</v>
      </c>
      <c r="S251" s="18">
        <f t="shared" si="219"/>
        <v>1.376989984700919</v>
      </c>
      <c r="T251" s="18" t="str">
        <f t="shared" si="208"/>
        <v>1+0.0237767852188793i</v>
      </c>
      <c r="U251" s="18">
        <f t="shared" si="220"/>
        <v>1.0002826278184305</v>
      </c>
      <c r="V251" s="18">
        <f t="shared" si="221"/>
        <v>2.3772306117723154E-2</v>
      </c>
      <c r="W251" s="32" t="str">
        <f t="shared" si="209"/>
        <v>1-0.0328367404152759i</v>
      </c>
      <c r="X251" s="18">
        <f t="shared" si="222"/>
        <v>1.0005389805105547</v>
      </c>
      <c r="Y251" s="18">
        <f t="shared" si="223"/>
        <v>-3.2824945956338523E-2</v>
      </c>
      <c r="Z251" s="32" t="str">
        <f t="shared" si="210"/>
        <v>0.999981716472415+0.0161161602523842i</v>
      </c>
      <c r="AA251" s="18">
        <f t="shared" si="224"/>
        <v>1.0001115757256276</v>
      </c>
      <c r="AB251" s="18">
        <f t="shared" si="225"/>
        <v>1.611505977214427E-2</v>
      </c>
      <c r="AC251" s="68" t="str">
        <f t="shared" si="226"/>
        <v>0.753829717390064-4.42763336321786i</v>
      </c>
      <c r="AD251" s="66">
        <f t="shared" si="227"/>
        <v>13.047531887761055</v>
      </c>
      <c r="AE251" s="63">
        <f t="shared" si="228"/>
        <v>-80.337717522896014</v>
      </c>
      <c r="AF251" s="51" t="e">
        <f t="shared" si="229"/>
        <v>#NUM!</v>
      </c>
      <c r="AG251" s="51" t="str">
        <f t="shared" si="211"/>
        <v>1-7.13303556566381i</v>
      </c>
      <c r="AH251" s="51">
        <f t="shared" si="230"/>
        <v>7.2027908744475448</v>
      </c>
      <c r="AI251" s="51">
        <f t="shared" si="231"/>
        <v>-1.4315113279682998</v>
      </c>
      <c r="AJ251" s="51" t="str">
        <f t="shared" si="212"/>
        <v>1+0.0237767852188793i</v>
      </c>
      <c r="AK251" s="51">
        <f t="shared" si="232"/>
        <v>1.0002826278184305</v>
      </c>
      <c r="AL251" s="51">
        <f t="shared" si="233"/>
        <v>2.3772306117723154E-2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-0.000170731707317073</v>
      </c>
      <c r="AT251" s="32" t="str">
        <f t="shared" si="215"/>
        <v>0.000510462055546562i</v>
      </c>
      <c r="AU251" s="32">
        <f t="shared" si="239"/>
        <v>5.1046205554656197E-4</v>
      </c>
      <c r="AV251" s="32">
        <f t="shared" si="240"/>
        <v>1.5707963267948966</v>
      </c>
      <c r="AW251" s="32" t="str">
        <f t="shared" si="216"/>
        <v>1+0.108681755095038i</v>
      </c>
      <c r="AX251" s="32">
        <f t="shared" si="241"/>
        <v>1.0058885245843785</v>
      </c>
      <c r="AY251" s="32">
        <f t="shared" si="242"/>
        <v>0.10825685603430062</v>
      </c>
      <c r="AZ251" s="32" t="str">
        <f t="shared" si="217"/>
        <v>1+2.06495334680572i</v>
      </c>
      <c r="BA251" s="32">
        <f t="shared" si="243"/>
        <v>2.2943479083356442</v>
      </c>
      <c r="BB251" s="32">
        <f t="shared" si="244"/>
        <v>1.1198097426314673</v>
      </c>
      <c r="BC251" s="60" t="str">
        <f t="shared" si="245"/>
        <v>-0.646666196328881+0.404745848342933i</v>
      </c>
      <c r="BD251" s="51">
        <f t="shared" si="246"/>
        <v>-2.3507972318815265</v>
      </c>
      <c r="BE251" s="63">
        <f t="shared" si="247"/>
        <v>147.95771115629327</v>
      </c>
      <c r="BF251" s="60" t="str">
        <f t="shared" si="248"/>
        <v>1.30459002572278+3.1683102742021i</v>
      </c>
      <c r="BG251" s="66">
        <f t="shared" si="249"/>
        <v>10.696734655879531</v>
      </c>
      <c r="BH251" s="63">
        <f t="shared" si="250"/>
        <v>67.619993633397243</v>
      </c>
      <c r="BI251" s="60" t="e">
        <f t="shared" si="255"/>
        <v>#NUM!</v>
      </c>
      <c r="BJ251" s="66" t="e">
        <f t="shared" si="251"/>
        <v>#NUM!</v>
      </c>
      <c r="BK251" s="63" t="e">
        <f t="shared" si="256"/>
        <v>#NUM!</v>
      </c>
      <c r="BL251" s="51">
        <f t="shared" si="252"/>
        <v>10.696734655879531</v>
      </c>
      <c r="BM251" s="63">
        <f t="shared" si="253"/>
        <v>67.619993633397243</v>
      </c>
    </row>
    <row r="252" spans="14:65" x14ac:dyDescent="0.3">
      <c r="N252" s="11">
        <v>34</v>
      </c>
      <c r="O252" s="52">
        <f t="shared" si="254"/>
        <v>2187.7616239495528</v>
      </c>
      <c r="P252" s="50" t="str">
        <f t="shared" si="206"/>
        <v>23.3035714285714</v>
      </c>
      <c r="Q252" s="18" t="str">
        <f t="shared" si="207"/>
        <v>1+5.21370379145225i</v>
      </c>
      <c r="R252" s="18">
        <f t="shared" si="218"/>
        <v>5.3087387602898275</v>
      </c>
      <c r="S252" s="18">
        <f t="shared" si="219"/>
        <v>1.3812955229130184</v>
      </c>
      <c r="T252" s="18" t="str">
        <f t="shared" si="208"/>
        <v>1+0.0243306176934438i</v>
      </c>
      <c r="U252" s="18">
        <f t="shared" si="220"/>
        <v>1.0002959456867475</v>
      </c>
      <c r="V252" s="18">
        <f t="shared" si="221"/>
        <v>2.4325818326771716E-2</v>
      </c>
      <c r="W252" s="32" t="str">
        <f t="shared" si="209"/>
        <v>1-0.033601606356294i</v>
      </c>
      <c r="X252" s="18">
        <f t="shared" si="222"/>
        <v>1.000564374715452</v>
      </c>
      <c r="Y252" s="18">
        <f t="shared" si="223"/>
        <v>-3.3588968750820403E-2</v>
      </c>
      <c r="Z252" s="32" t="str">
        <f t="shared" si="210"/>
        <v>0.999980854796307+0.0164915538487384i</v>
      </c>
      <c r="AA252" s="18">
        <f t="shared" si="224"/>
        <v>1.0001168338286777</v>
      </c>
      <c r="AB252" s="18">
        <f t="shared" si="225"/>
        <v>1.6490374670301622E-2</v>
      </c>
      <c r="AC252" s="68" t="str">
        <f t="shared" si="226"/>
        <v>0.716119482071718-4.33416383327703i</v>
      </c>
      <c r="AD252" s="66">
        <f t="shared" si="227"/>
        <v>12.855078741728638</v>
      </c>
      <c r="AE252" s="63">
        <f t="shared" si="228"/>
        <v>-80.617972018722597</v>
      </c>
      <c r="AF252" s="51" t="e">
        <f t="shared" si="229"/>
        <v>#NUM!</v>
      </c>
      <c r="AG252" s="51" t="str">
        <f t="shared" si="211"/>
        <v>1-7.29918530803316i</v>
      </c>
      <c r="AH252" s="51">
        <f t="shared" si="230"/>
        <v>7.3673676548009421</v>
      </c>
      <c r="AI252" s="51">
        <f t="shared" si="231"/>
        <v>-1.4346423579988052</v>
      </c>
      <c r="AJ252" s="51" t="str">
        <f t="shared" si="212"/>
        <v>1+0.0243306176934438i</v>
      </c>
      <c r="AK252" s="51">
        <f t="shared" si="232"/>
        <v>1.0002959456867475</v>
      </c>
      <c r="AL252" s="51">
        <f t="shared" si="233"/>
        <v>2.4325818326771716E-2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-0.000170731707317073</v>
      </c>
      <c r="AT252" s="32" t="str">
        <f t="shared" si="215"/>
        <v>0.000522352244266025i</v>
      </c>
      <c r="AU252" s="32">
        <f t="shared" si="239"/>
        <v>5.2235224426602496E-4</v>
      </c>
      <c r="AV252" s="32">
        <f t="shared" si="240"/>
        <v>1.5707963267948966</v>
      </c>
      <c r="AW252" s="32" t="str">
        <f t="shared" si="216"/>
        <v>1+0.111213278377525i</v>
      </c>
      <c r="AX252" s="32">
        <f t="shared" si="241"/>
        <v>1.0061651918484742</v>
      </c>
      <c r="AY252" s="32">
        <f t="shared" si="242"/>
        <v>0.11075814136602696</v>
      </c>
      <c r="AZ252" s="32" t="str">
        <f t="shared" si="217"/>
        <v>1+2.11305228917299i</v>
      </c>
      <c r="BA252" s="32">
        <f t="shared" si="243"/>
        <v>2.3377318017213207</v>
      </c>
      <c r="BB252" s="32">
        <f t="shared" si="244"/>
        <v>1.1287775730973419</v>
      </c>
      <c r="BC252" s="60" t="str">
        <f t="shared" si="245"/>
        <v>-0.646310615016866+0.398729999909076i</v>
      </c>
      <c r="BD252" s="51">
        <f t="shared" si="246"/>
        <v>-2.3904777138361357</v>
      </c>
      <c r="BE252" s="63">
        <f t="shared" si="247"/>
        <v>148.3282169005108</v>
      </c>
      <c r="BF252" s="60" t="str">
        <f t="shared" si="248"/>
        <v>1.26532552196514+3.08675441369048i</v>
      </c>
      <c r="BG252" s="66">
        <f t="shared" si="249"/>
        <v>10.464601027892506</v>
      </c>
      <c r="BH252" s="63">
        <f t="shared" si="250"/>
        <v>67.710244881788185</v>
      </c>
      <c r="BI252" s="60" t="e">
        <f t="shared" si="255"/>
        <v>#NUM!</v>
      </c>
      <c r="BJ252" s="66" t="e">
        <f t="shared" si="251"/>
        <v>#NUM!</v>
      </c>
      <c r="BK252" s="63" t="e">
        <f t="shared" si="256"/>
        <v>#NUM!</v>
      </c>
      <c r="BL252" s="51">
        <f t="shared" si="252"/>
        <v>10.464601027892506</v>
      </c>
      <c r="BM252" s="63">
        <f t="shared" si="253"/>
        <v>67.710244881788185</v>
      </c>
    </row>
    <row r="253" spans="14:65" x14ac:dyDescent="0.3">
      <c r="N253" s="11">
        <v>35</v>
      </c>
      <c r="O253" s="52">
        <f t="shared" si="254"/>
        <v>2238.7211385683418</v>
      </c>
      <c r="P253" s="50" t="str">
        <f t="shared" si="206"/>
        <v>23.3035714285714</v>
      </c>
      <c r="Q253" s="18" t="str">
        <f t="shared" si="207"/>
        <v>1+5.3351465536207i</v>
      </c>
      <c r="R253" s="18">
        <f t="shared" si="218"/>
        <v>5.4280557061079291</v>
      </c>
      <c r="S253" s="18">
        <f t="shared" si="219"/>
        <v>1.3855099376469133</v>
      </c>
      <c r="T253" s="18" t="str">
        <f t="shared" si="208"/>
        <v>1+0.0248973505835633i</v>
      </c>
      <c r="U253" s="18">
        <f t="shared" si="220"/>
        <v>1.0003098910168193</v>
      </c>
      <c r="V253" s="18">
        <f t="shared" si="221"/>
        <v>2.4892208055561939E-2</v>
      </c>
      <c r="W253" s="32" t="str">
        <f t="shared" si="209"/>
        <v>1-0.0343842883137722i</v>
      </c>
      <c r="X253" s="18">
        <f t="shared" si="222"/>
        <v>1.0005909650215941</v>
      </c>
      <c r="Y253" s="18">
        <f t="shared" si="223"/>
        <v>-3.4370747307449608E-2</v>
      </c>
      <c r="Z253" s="32" t="str">
        <f t="shared" si="210"/>
        <v>0.999979952510655+0.0168756914852347i</v>
      </c>
      <c r="AA253" s="18">
        <f t="shared" si="224"/>
        <v>1.0001223397096561</v>
      </c>
      <c r="AB253" s="18">
        <f t="shared" si="225"/>
        <v>1.687442798106174E-2</v>
      </c>
      <c r="AC253" s="68" t="str">
        <f t="shared" si="226"/>
        <v>0.679988432835343-4.24236321836796i</v>
      </c>
      <c r="AD253" s="66">
        <f t="shared" si="227"/>
        <v>12.662324011909902</v>
      </c>
      <c r="AE253" s="63">
        <f t="shared" si="228"/>
        <v>-80.893785700696526</v>
      </c>
      <c r="AF253" s="51" t="e">
        <f t="shared" si="229"/>
        <v>#NUM!</v>
      </c>
      <c r="AG253" s="51" t="str">
        <f t="shared" si="211"/>
        <v>1-7.46920517506899i</v>
      </c>
      <c r="AH253" s="51">
        <f t="shared" si="230"/>
        <v>7.5358493845934422</v>
      </c>
      <c r="AI253" s="51">
        <f t="shared" si="231"/>
        <v>-1.4377047148585456</v>
      </c>
      <c r="AJ253" s="51" t="str">
        <f t="shared" si="212"/>
        <v>1+0.0248973505835633i</v>
      </c>
      <c r="AK253" s="51">
        <f t="shared" si="232"/>
        <v>1.0003098910168193</v>
      </c>
      <c r="AL253" s="51">
        <f t="shared" si="233"/>
        <v>2.4892208055561939E-2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-0.000170731707317073</v>
      </c>
      <c r="AT253" s="32" t="str">
        <f t="shared" si="215"/>
        <v>0.000534519391059548i</v>
      </c>
      <c r="AU253" s="32">
        <f t="shared" si="239"/>
        <v>5.3451939105954803E-4</v>
      </c>
      <c r="AV253" s="32">
        <f t="shared" si="240"/>
        <v>1.5707963267948966</v>
      </c>
      <c r="AW253" s="32" t="str">
        <f t="shared" si="216"/>
        <v>1+0.113803768412291i</v>
      </c>
      <c r="AX253" s="32">
        <f t="shared" si="241"/>
        <v>1.0064548165242384</v>
      </c>
      <c r="AY253" s="32">
        <f t="shared" si="242"/>
        <v>0.11331624908492599</v>
      </c>
      <c r="AZ253" s="32" t="str">
        <f t="shared" si="217"/>
        <v>1+2.16227159983353i</v>
      </c>
      <c r="BA253" s="32">
        <f t="shared" si="243"/>
        <v>2.3823136803214333</v>
      </c>
      <c r="BB253" s="32">
        <f t="shared" si="244"/>
        <v>1.1376154419165447</v>
      </c>
      <c r="BC253" s="60" t="str">
        <f t="shared" si="245"/>
        <v>-0.645938694556985+0.39292188265017i</v>
      </c>
      <c r="BD253" s="51">
        <f t="shared" si="246"/>
        <v>-2.4288923919132528</v>
      </c>
      <c r="BE253" s="63">
        <f t="shared" si="247"/>
        <v>148.68802070790869</v>
      </c>
      <c r="BF253" s="60" t="str">
        <f t="shared" si="248"/>
        <v>1.22768650202746+3.00748889431917i</v>
      </c>
      <c r="BG253" s="66">
        <f t="shared" si="249"/>
        <v>10.233431619996642</v>
      </c>
      <c r="BH253" s="63">
        <f t="shared" si="250"/>
        <v>67.79423500721218</v>
      </c>
      <c r="BI253" s="60" t="e">
        <f t="shared" si="255"/>
        <v>#NUM!</v>
      </c>
      <c r="BJ253" s="66" t="e">
        <f t="shared" si="251"/>
        <v>#NUM!</v>
      </c>
      <c r="BK253" s="63" t="e">
        <f t="shared" si="256"/>
        <v>#NUM!</v>
      </c>
      <c r="BL253" s="51">
        <f t="shared" si="252"/>
        <v>10.233431619996642</v>
      </c>
      <c r="BM253" s="63">
        <f t="shared" si="253"/>
        <v>67.79423500721218</v>
      </c>
    </row>
    <row r="254" spans="14:65" x14ac:dyDescent="0.3">
      <c r="N254" s="11">
        <v>36</v>
      </c>
      <c r="O254" s="52">
        <f t="shared" si="254"/>
        <v>2290.8676527677749</v>
      </c>
      <c r="P254" s="50" t="str">
        <f t="shared" si="206"/>
        <v>23.3035714285714</v>
      </c>
      <c r="Q254" s="18" t="str">
        <f t="shared" si="207"/>
        <v>1+5.45941808111087i</v>
      </c>
      <c r="R254" s="18">
        <f t="shared" si="218"/>
        <v>5.550247362447938</v>
      </c>
      <c r="S254" s="18">
        <f t="shared" si="219"/>
        <v>1.3896348643226855</v>
      </c>
      <c r="T254" s="18" t="str">
        <f t="shared" si="208"/>
        <v>1+0.0254772843785174i</v>
      </c>
      <c r="U254" s="18">
        <f t="shared" si="220"/>
        <v>1.0003244933616811</v>
      </c>
      <c r="V254" s="18">
        <f t="shared" si="221"/>
        <v>2.547177415702153E-2</v>
      </c>
      <c r="W254" s="32" t="str">
        <f t="shared" si="209"/>
        <v>1-0.0351852012760441i</v>
      </c>
      <c r="X254" s="18">
        <f t="shared" si="222"/>
        <v>1.0006188077329128</v>
      </c>
      <c r="Y254" s="18">
        <f t="shared" si="223"/>
        <v>-3.5170692310935295E-2</v>
      </c>
      <c r="Z254" s="32" t="str">
        <f t="shared" si="210"/>
        <v>0.99997900770159+0.0172687768367326i</v>
      </c>
      <c r="AA254" s="18">
        <f t="shared" si="224"/>
        <v>1.0001281050431956</v>
      </c>
      <c r="AB254" s="18">
        <f t="shared" si="225"/>
        <v>1.7267422976916334E-2</v>
      </c>
      <c r="AC254" s="68" t="str">
        <f t="shared" si="226"/>
        <v>0.645375346584499-4.15222201139308i</v>
      </c>
      <c r="AD254" s="66">
        <f t="shared" si="227"/>
        <v>12.469281565758701</v>
      </c>
      <c r="AE254" s="63">
        <f t="shared" si="228"/>
        <v>-81.165270325631255</v>
      </c>
      <c r="AF254" s="51" t="e">
        <f t="shared" si="229"/>
        <v>#NUM!</v>
      </c>
      <c r="AG254" s="51" t="str">
        <f t="shared" si="211"/>
        <v>1-7.64318531355524i</v>
      </c>
      <c r="AH254" s="51">
        <f t="shared" si="230"/>
        <v>7.7083254820581173</v>
      </c>
      <c r="AI254" s="51">
        <f t="shared" si="231"/>
        <v>-1.4406997923774671</v>
      </c>
      <c r="AJ254" s="51" t="str">
        <f t="shared" si="212"/>
        <v>1+0.0254772843785174i</v>
      </c>
      <c r="AK254" s="51">
        <f t="shared" si="232"/>
        <v>1.0003244933616811</v>
      </c>
      <c r="AL254" s="51">
        <f t="shared" si="233"/>
        <v>2.547177415702153E-2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-0.000170731707317073</v>
      </c>
      <c r="AT254" s="32" t="str">
        <f t="shared" si="215"/>
        <v>0.000546969947109412i</v>
      </c>
      <c r="AU254" s="32">
        <f t="shared" si="239"/>
        <v>5.4696994710941196E-4</v>
      </c>
      <c r="AV254" s="32">
        <f t="shared" si="240"/>
        <v>1.5707963267948966</v>
      </c>
      <c r="AW254" s="32" t="str">
        <f t="shared" si="216"/>
        <v>1+0.116454598711439i</v>
      </c>
      <c r="AX254" s="32">
        <f t="shared" si="241"/>
        <v>1.0067580014884621</v>
      </c>
      <c r="AY254" s="32">
        <f t="shared" si="242"/>
        <v>0.11593240154069855</v>
      </c>
      <c r="AZ254" s="32" t="str">
        <f t="shared" si="217"/>
        <v>1+2.21263737551734i</v>
      </c>
      <c r="BA254" s="32">
        <f t="shared" si="243"/>
        <v>2.4281194689586965</v>
      </c>
      <c r="BB254" s="32">
        <f t="shared" si="244"/>
        <v>1.1463225115684572</v>
      </c>
      <c r="BC254" s="60" t="str">
        <f t="shared" si="245"/>
        <v>-0.645549704529014+0.387318160590411i</v>
      </c>
      <c r="BD254" s="51">
        <f t="shared" si="246"/>
        <v>-2.4660864090342702</v>
      </c>
      <c r="BE254" s="63">
        <f t="shared" si="247"/>
        <v>149.03700455661104</v>
      </c>
      <c r="BF254" s="60" t="str">
        <f t="shared" si="248"/>
        <v>1.19160912751785+2.93043128472318i</v>
      </c>
      <c r="BG254" s="66">
        <f t="shared" si="249"/>
        <v>10.003195156724434</v>
      </c>
      <c r="BH254" s="63">
        <f t="shared" si="250"/>
        <v>67.87173423097984</v>
      </c>
      <c r="BI254" s="60" t="e">
        <f t="shared" si="255"/>
        <v>#NUM!</v>
      </c>
      <c r="BJ254" s="66" t="e">
        <f t="shared" si="251"/>
        <v>#NUM!</v>
      </c>
      <c r="BK254" s="63" t="e">
        <f t="shared" si="256"/>
        <v>#NUM!</v>
      </c>
      <c r="BL254" s="51">
        <f t="shared" si="252"/>
        <v>10.003195156724434</v>
      </c>
      <c r="BM254" s="63">
        <f t="shared" si="253"/>
        <v>67.87173423097984</v>
      </c>
    </row>
    <row r="255" spans="14:65" x14ac:dyDescent="0.3">
      <c r="N255" s="11">
        <v>37</v>
      </c>
      <c r="O255" s="52">
        <f t="shared" si="254"/>
        <v>2344.2288153199238</v>
      </c>
      <c r="P255" s="50" t="str">
        <f t="shared" si="206"/>
        <v>23.3035714285714</v>
      </c>
      <c r="Q255" s="18" t="str">
        <f t="shared" si="207"/>
        <v>1+5.5865842643316i</v>
      </c>
      <c r="R255" s="18">
        <f t="shared" si="218"/>
        <v>5.6753787311929624</v>
      </c>
      <c r="S255" s="18">
        <f t="shared" si="219"/>
        <v>1.3936719282706118</v>
      </c>
      <c r="T255" s="18" t="str">
        <f t="shared" si="208"/>
        <v>1+0.0260707265668808i</v>
      </c>
      <c r="U255" s="18">
        <f t="shared" si="220"/>
        <v>1.0003397836653929</v>
      </c>
      <c r="V255" s="18">
        <f t="shared" si="221"/>
        <v>2.6064822366481614E-2</v>
      </c>
      <c r="W255" s="32" t="str">
        <f t="shared" si="209"/>
        <v>1-0.0360047698977638i</v>
      </c>
      <c r="X255" s="18">
        <f t="shared" si="222"/>
        <v>1.000647961800448</v>
      </c>
      <c r="Y255" s="18">
        <f t="shared" si="223"/>
        <v>-3.5989223805212134E-2</v>
      </c>
      <c r="Z255" s="32" t="str">
        <f t="shared" si="210"/>
        <v>0.999978018365046+0.0176710183222887i</v>
      </c>
      <c r="AA255" s="18">
        <f t="shared" si="224"/>
        <v>1.0001341420538701</v>
      </c>
      <c r="AB255" s="18">
        <f t="shared" si="225"/>
        <v>1.7669567645790557E-2</v>
      </c>
      <c r="AC255" s="68" t="str">
        <f t="shared" si="226"/>
        <v>0.612220951898066-4.06372926212828i</v>
      </c>
      <c r="AD255" s="66">
        <f t="shared" si="227"/>
        <v>12.27596478640756</v>
      </c>
      <c r="AE255" s="63">
        <f t="shared" si="228"/>
        <v>-81.432537484322793</v>
      </c>
      <c r="AF255" s="51" t="e">
        <f t="shared" si="229"/>
        <v>#NUM!</v>
      </c>
      <c r="AG255" s="51" t="str">
        <f t="shared" si="211"/>
        <v>1-7.82121797006426i</v>
      </c>
      <c r="AH255" s="51">
        <f t="shared" si="230"/>
        <v>7.8848874776534448</v>
      </c>
      <c r="AI255" s="51">
        <f t="shared" si="231"/>
        <v>-1.4436289635329946</v>
      </c>
      <c r="AJ255" s="51" t="str">
        <f t="shared" si="212"/>
        <v>1+0.0260707265668808i</v>
      </c>
      <c r="AK255" s="51">
        <f t="shared" si="232"/>
        <v>1.0003397836653929</v>
      </c>
      <c r="AL255" s="51">
        <f t="shared" si="233"/>
        <v>2.6064822366481614E-2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-0.000170731707317073</v>
      </c>
      <c r="AT255" s="32" t="str">
        <f t="shared" si="215"/>
        <v>0.000559710513865236i</v>
      </c>
      <c r="AU255" s="32">
        <f t="shared" si="239"/>
        <v>5.59710513865236E-4</v>
      </c>
      <c r="AV255" s="32">
        <f t="shared" si="240"/>
        <v>1.5707963267948966</v>
      </c>
      <c r="AW255" s="32" t="str">
        <f t="shared" si="216"/>
        <v>1+0.119167174780283i</v>
      </c>
      <c r="AX255" s="32">
        <f t="shared" si="241"/>
        <v>1.0070753772906547</v>
      </c>
      <c r="AY255" s="32">
        <f t="shared" si="242"/>
        <v>0.11860784252973051</v>
      </c>
      <c r="AZ255" s="32" t="str">
        <f t="shared" si="217"/>
        <v>1+2.26417632082538i</v>
      </c>
      <c r="BA255" s="32">
        <f t="shared" si="243"/>
        <v>2.4751756325130456</v>
      </c>
      <c r="BB255" s="32">
        <f t="shared" si="244"/>
        <v>1.1548981167487076</v>
      </c>
      <c r="BC255" s="60" t="str">
        <f t="shared" si="245"/>
        <v>-0.645142883796232+0.381915588599848i</v>
      </c>
      <c r="BD255" s="51">
        <f t="shared" si="246"/>
        <v>-2.5021047708933741</v>
      </c>
      <c r="BE255" s="63">
        <f t="shared" si="247"/>
        <v>149.37505906320209</v>
      </c>
      <c r="BF255" s="60" t="str">
        <f t="shared" si="248"/>
        <v>1.15703156262816+2.85550274033388i</v>
      </c>
      <c r="BG255" s="66">
        <f t="shared" si="249"/>
        <v>9.7738600155141864</v>
      </c>
      <c r="BH255" s="63">
        <f t="shared" si="250"/>
        <v>67.942521578879209</v>
      </c>
      <c r="BI255" s="60" t="e">
        <f t="shared" si="255"/>
        <v>#NUM!</v>
      </c>
      <c r="BJ255" s="66" t="e">
        <f t="shared" si="251"/>
        <v>#NUM!</v>
      </c>
      <c r="BK255" s="63" t="e">
        <f t="shared" si="256"/>
        <v>#NUM!</v>
      </c>
      <c r="BL255" s="51">
        <f t="shared" si="252"/>
        <v>9.7738600155141864</v>
      </c>
      <c r="BM255" s="63">
        <f t="shared" si="253"/>
        <v>67.942521578879209</v>
      </c>
    </row>
    <row r="256" spans="14:65" x14ac:dyDescent="0.3">
      <c r="N256" s="11">
        <v>38</v>
      </c>
      <c r="O256" s="52">
        <f t="shared" si="254"/>
        <v>2398.8329190194918</v>
      </c>
      <c r="P256" s="50" t="str">
        <f t="shared" si="206"/>
        <v>23.3035714285714</v>
      </c>
      <c r="Q256" s="18" t="str">
        <f t="shared" si="207"/>
        <v>1+5.71671252847645i</v>
      </c>
      <c r="R256" s="18">
        <f t="shared" si="218"/>
        <v>5.8035163593497012</v>
      </c>
      <c r="S256" s="18">
        <f t="shared" si="219"/>
        <v>1.3976227433711232</v>
      </c>
      <c r="T256" s="18" t="str">
        <f t="shared" si="208"/>
        <v>1+0.0266779917995568i</v>
      </c>
      <c r="U256" s="18">
        <f t="shared" si="220"/>
        <v>1.0003557943284265</v>
      </c>
      <c r="V256" s="18">
        <f t="shared" si="221"/>
        <v>2.6671665456367216E-2</v>
      </c>
      <c r="W256" s="32" t="str">
        <f t="shared" si="209"/>
        <v>1-0.0368434287250627i</v>
      </c>
      <c r="X256" s="18">
        <f t="shared" si="222"/>
        <v>1.0006784889464841</v>
      </c>
      <c r="Y256" s="18">
        <f t="shared" si="223"/>
        <v>-3.6826771396718763E-2</v>
      </c>
      <c r="Z256" s="32" t="str">
        <f t="shared" si="210"/>
        <v>0.999976982402507+0.0180826292156628i</v>
      </c>
      <c r="AA256" s="18">
        <f t="shared" si="224"/>
        <v>1.0001404635420841</v>
      </c>
      <c r="AB256" s="18">
        <f t="shared" si="225"/>
        <v>1.8081074799493602E-2</v>
      </c>
      <c r="AC256" s="68" t="str">
        <f t="shared" si="226"/>
        <v>0.58046790408822-3.97687269703734i</v>
      </c>
      <c r="AD256" s="66">
        <f t="shared" si="227"/>
        <v>12.082386590641702</v>
      </c>
      <c r="AE256" s="63">
        <f t="shared" si="228"/>
        <v>-81.695698532622814</v>
      </c>
      <c r="AF256" s="51" t="e">
        <f t="shared" si="229"/>
        <v>#NUM!</v>
      </c>
      <c r="AG256" s="51" t="str">
        <f t="shared" si="211"/>
        <v>1-8.00339753986704i</v>
      </c>
      <c r="AH256" s="51">
        <f t="shared" si="230"/>
        <v>8.0656290629528584</v>
      </c>
      <c r="AI256" s="51">
        <f t="shared" si="231"/>
        <v>-1.4464935802442391</v>
      </c>
      <c r="AJ256" s="51" t="str">
        <f t="shared" si="212"/>
        <v>1+0.0266779917995568i</v>
      </c>
      <c r="AK256" s="51">
        <f t="shared" si="232"/>
        <v>1.0003557943284265</v>
      </c>
      <c r="AL256" s="51">
        <f t="shared" si="233"/>
        <v>2.6671665456367216E-2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-0.000170731707317073</v>
      </c>
      <c r="AT256" s="32" t="str">
        <f t="shared" si="215"/>
        <v>0.000572747846544156i</v>
      </c>
      <c r="AU256" s="32">
        <f t="shared" si="239"/>
        <v>5.7274784654415603E-4</v>
      </c>
      <c r="AV256" s="32">
        <f t="shared" si="240"/>
        <v>1.5707963267948966</v>
      </c>
      <c r="AW256" s="32" t="str">
        <f t="shared" si="216"/>
        <v>1+0.121942934862559i</v>
      </c>
      <c r="AX256" s="32">
        <f t="shared" si="241"/>
        <v>1.0074076033874741</v>
      </c>
      <c r="AY256" s="32">
        <f t="shared" si="242"/>
        <v>0.12134383731759715</v>
      </c>
      <c r="AZ256" s="32" t="str">
        <f t="shared" si="217"/>
        <v>1+2.31691576238862i</v>
      </c>
      <c r="BA256" s="32">
        <f t="shared" si="243"/>
        <v>2.5235091935645571</v>
      </c>
      <c r="BB256" s="32">
        <f t="shared" si="244"/>
        <v>1.1633417580453458</v>
      </c>
      <c r="BC256" s="60" t="str">
        <f t="shared" si="245"/>
        <v>-0.644717439398761+0.376711009516345i</v>
      </c>
      <c r="BD256" s="51">
        <f t="shared" si="246"/>
        <v>-2.5369922952615074</v>
      </c>
      <c r="BE256" s="63">
        <f t="shared" si="247"/>
        <v>149.70208311910739</v>
      </c>
      <c r="BF256" s="60" t="str">
        <f t="shared" si="248"/>
        <v>1.123893947642+2.78262783218967i</v>
      </c>
      <c r="BG256" s="66">
        <f t="shared" si="249"/>
        <v>9.5453942953801949</v>
      </c>
      <c r="BH256" s="63">
        <f t="shared" si="250"/>
        <v>68.006384586484629</v>
      </c>
      <c r="BI256" s="60" t="e">
        <f t="shared" si="255"/>
        <v>#NUM!</v>
      </c>
      <c r="BJ256" s="66" t="e">
        <f t="shared" si="251"/>
        <v>#NUM!</v>
      </c>
      <c r="BK256" s="63" t="e">
        <f t="shared" si="256"/>
        <v>#NUM!</v>
      </c>
      <c r="BL256" s="51">
        <f t="shared" si="252"/>
        <v>9.5453942953801949</v>
      </c>
      <c r="BM256" s="63">
        <f t="shared" si="253"/>
        <v>68.006384586484629</v>
      </c>
    </row>
    <row r="257" spans="14:65" x14ac:dyDescent="0.3">
      <c r="N257" s="11">
        <v>39</v>
      </c>
      <c r="O257" s="52">
        <f t="shared" si="254"/>
        <v>2454.7089156850338</v>
      </c>
      <c r="P257" s="50" t="str">
        <f t="shared" si="206"/>
        <v>23.3035714285714</v>
      </c>
      <c r="Q257" s="18" t="str">
        <f t="shared" si="207"/>
        <v>1+5.84987186927352i</v>
      </c>
      <c r="R257" s="18">
        <f t="shared" si="218"/>
        <v>5.9347283751590236</v>
      </c>
      <c r="S257" s="18">
        <f t="shared" si="219"/>
        <v>1.4014889108095041</v>
      </c>
      <c r="T257" s="18" t="str">
        <f t="shared" si="208"/>
        <v>1+0.0272994020566098i</v>
      </c>
      <c r="U257" s="18">
        <f t="shared" si="220"/>
        <v>1.0003725592761172</v>
      </c>
      <c r="V257" s="18">
        <f t="shared" si="221"/>
        <v>2.7292623394092049E-2</v>
      </c>
      <c r="W257" s="32" t="str">
        <f t="shared" si="209"/>
        <v>1-0.037701622425952i</v>
      </c>
      <c r="X257" s="18">
        <f t="shared" si="222"/>
        <v>1.0007104537944775</v>
      </c>
      <c r="Y257" s="18">
        <f t="shared" si="223"/>
        <v>-3.76837744613676E-2</v>
      </c>
      <c r="Z257" s="32" t="str">
        <f t="shared" si="210"/>
        <v>0.999975897616557+0.018503827758399i</v>
      </c>
      <c r="AA257" s="18">
        <f t="shared" si="224"/>
        <v>1.0001470829111843</v>
      </c>
      <c r="AB257" s="18">
        <f t="shared" si="225"/>
        <v>1.8502162184597451E-2</v>
      </c>
      <c r="AC257" s="68" t="str">
        <f t="shared" si="226"/>
        <v>0.550060756776322-3.89163883288369i</v>
      </c>
      <c r="AD257" s="66">
        <f t="shared" si="227"/>
        <v>11.888559446709674</v>
      </c>
      <c r="AE257" s="63">
        <f t="shared" si="228"/>
        <v>-81.954864529252959</v>
      </c>
      <c r="AF257" s="51" t="e">
        <f t="shared" si="229"/>
        <v>#NUM!</v>
      </c>
      <c r="AG257" s="51" t="str">
        <f t="shared" si="211"/>
        <v>1-8.18982061698295i</v>
      </c>
      <c r="AH257" s="51">
        <f t="shared" si="230"/>
        <v>8.2506461406582545</v>
      </c>
      <c r="AI257" s="51">
        <f t="shared" si="231"/>
        <v>-1.4492949732115623</v>
      </c>
      <c r="AJ257" s="51" t="str">
        <f t="shared" si="212"/>
        <v>1+0.0272994020566098i</v>
      </c>
      <c r="AK257" s="51">
        <f t="shared" si="232"/>
        <v>1.0003725592761172</v>
      </c>
      <c r="AL257" s="51">
        <f t="shared" si="233"/>
        <v>2.7292623394092049E-2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-0.000170731707317073</v>
      </c>
      <c r="AT257" s="32" t="str">
        <f t="shared" si="215"/>
        <v>0.000586088857712528i</v>
      </c>
      <c r="AU257" s="32">
        <f t="shared" si="239"/>
        <v>5.8608885771252797E-4</v>
      </c>
      <c r="AV257" s="32">
        <f t="shared" si="240"/>
        <v>1.5707963267948966</v>
      </c>
      <c r="AW257" s="32" t="str">
        <f t="shared" si="216"/>
        <v>1+0.124783350703005i</v>
      </c>
      <c r="AX257" s="32">
        <f t="shared" si="241"/>
        <v>1.0077553694288457</v>
      </c>
      <c r="AY257" s="32">
        <f t="shared" si="242"/>
        <v>0.12414167263098141</v>
      </c>
      <c r="AZ257" s="32" t="str">
        <f t="shared" si="217"/>
        <v>1+2.37088366335709i</v>
      </c>
      <c r="BA257" s="32">
        <f t="shared" si="243"/>
        <v>2.5731477503582134</v>
      </c>
      <c r="BB257" s="32">
        <f t="shared" si="244"/>
        <v>1.171653095419124</v>
      </c>
      <c r="BC257" s="60" t="str">
        <f t="shared" si="245"/>
        <v>-0.644272545425333+0.371701351242611i</v>
      </c>
      <c r="BD257" s="51">
        <f t="shared" si="246"/>
        <v>-2.570793566552894</v>
      </c>
      <c r="BE257" s="63">
        <f t="shared" si="247"/>
        <v>150.01798351750458</v>
      </c>
      <c r="BF257" s="60" t="str">
        <f t="shared" si="248"/>
        <v>1.09213836882422+2.71173438329734i</v>
      </c>
      <c r="BG257" s="66">
        <f t="shared" si="249"/>
        <v>9.3177658801567844</v>
      </c>
      <c r="BH257" s="63">
        <f t="shared" si="250"/>
        <v>68.063118988251588</v>
      </c>
      <c r="BI257" s="60" t="e">
        <f t="shared" si="255"/>
        <v>#NUM!</v>
      </c>
      <c r="BJ257" s="66" t="e">
        <f t="shared" si="251"/>
        <v>#NUM!</v>
      </c>
      <c r="BK257" s="63" t="e">
        <f t="shared" si="256"/>
        <v>#NUM!</v>
      </c>
      <c r="BL257" s="51">
        <f t="shared" si="252"/>
        <v>9.3177658801567844</v>
      </c>
      <c r="BM257" s="63">
        <f t="shared" si="253"/>
        <v>68.063118988251588</v>
      </c>
    </row>
    <row r="258" spans="14:65" x14ac:dyDescent="0.3">
      <c r="N258" s="11">
        <v>40</v>
      </c>
      <c r="O258" s="52">
        <f t="shared" si="254"/>
        <v>2511.8864315095811</v>
      </c>
      <c r="P258" s="50" t="str">
        <f t="shared" si="206"/>
        <v>23.3035714285714</v>
      </c>
      <c r="Q258" s="18" t="str">
        <f t="shared" si="207"/>
        <v>1+5.98613288956794i</v>
      </c>
      <c r="R258" s="18">
        <f t="shared" si="218"/>
        <v>6.0690845249977379</v>
      </c>
      <c r="S258" s="18">
        <f t="shared" si="219"/>
        <v>1.4052720179392997</v>
      </c>
      <c r="T258" s="18" t="str">
        <f t="shared" si="208"/>
        <v>1+0.0279352868179837i</v>
      </c>
      <c r="U258" s="18">
        <f t="shared" si="220"/>
        <v>1.0003901140303231</v>
      </c>
      <c r="V258" s="18">
        <f t="shared" si="221"/>
        <v>2.7928023503202365E-2</v>
      </c>
      <c r="W258" s="32" t="str">
        <f t="shared" si="209"/>
        <v>1-0.0385798060260917i</v>
      </c>
      <c r="X258" s="18">
        <f t="shared" si="222"/>
        <v>1.0007439240050426</v>
      </c>
      <c r="Y258" s="18">
        <f t="shared" si="223"/>
        <v>-3.8560682355216827E-2</v>
      </c>
      <c r="Z258" s="32" t="str">
        <f t="shared" si="210"/>
        <v>0.999974761706221+0.0189348372755398i</v>
      </c>
      <c r="AA258" s="18">
        <f t="shared" si="224"/>
        <v>1.000154014195846</v>
      </c>
      <c r="AB258" s="18">
        <f t="shared" si="225"/>
        <v>1.8933052595791321E-2</v>
      </c>
      <c r="AC258" s="68" t="str">
        <f t="shared" si="226"/>
        <v>0.520945930440042-3.80801308429723i</v>
      </c>
      <c r="AD258" s="66">
        <f t="shared" si="227"/>
        <v>11.6944953919461</v>
      </c>
      <c r="AE258" s="63">
        <f t="shared" si="228"/>
        <v>-82.210146180015272</v>
      </c>
      <c r="AF258" s="51" t="e">
        <f t="shared" si="229"/>
        <v>#NUM!</v>
      </c>
      <c r="AG258" s="51" t="str">
        <f t="shared" si="211"/>
        <v>1-8.38058604539513i</v>
      </c>
      <c r="AH258" s="51">
        <f t="shared" si="230"/>
        <v>8.4400368757649158</v>
      </c>
      <c r="AI258" s="51">
        <f t="shared" si="231"/>
        <v>-1.4520344517982309</v>
      </c>
      <c r="AJ258" s="51" t="str">
        <f t="shared" si="212"/>
        <v>1+0.0279352868179837i</v>
      </c>
      <c r="AK258" s="51">
        <f t="shared" si="232"/>
        <v>1.0003901140303231</v>
      </c>
      <c r="AL258" s="51">
        <f t="shared" si="233"/>
        <v>2.7928023503202365E-2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-0.000170731707317073</v>
      </c>
      <c r="AT258" s="32" t="str">
        <f t="shared" si="215"/>
        <v>0.000599740620951061i</v>
      </c>
      <c r="AU258" s="32">
        <f t="shared" si="239"/>
        <v>5.9974062095106105E-4</v>
      </c>
      <c r="AV258" s="32">
        <f t="shared" si="240"/>
        <v>1.5707963267948966</v>
      </c>
      <c r="AW258" s="32" t="str">
        <f t="shared" si="216"/>
        <v>1+0.127689928327697i</v>
      </c>
      <c r="AX258" s="32">
        <f t="shared" si="241"/>
        <v>1.0081193965976116</v>
      </c>
      <c r="AY258" s="32">
        <f t="shared" si="242"/>
        <v>0.12700265661639853</v>
      </c>
      <c r="AZ258" s="32" t="str">
        <f t="shared" si="217"/>
        <v>1+2.42610863822625i</v>
      </c>
      <c r="BA258" s="32">
        <f t="shared" si="243"/>
        <v>2.6241194950832605</v>
      </c>
      <c r="BB258" s="32">
        <f t="shared" si="244"/>
        <v>1.1798319415332976</v>
      </c>
      <c r="BC258" s="60" t="str">
        <f t="shared" si="245"/>
        <v>-0.643807341864951+0.366883623812894i</v>
      </c>
      <c r="BD258" s="51">
        <f t="shared" si="246"/>
        <v>-2.6035528955928822</v>
      </c>
      <c r="BE258" s="63">
        <f t="shared" si="247"/>
        <v>150.32267457351469</v>
      </c>
      <c r="BF258" s="60" t="str">
        <f t="shared" si="248"/>
        <v>1.06170882516192+2.64275331235878i</v>
      </c>
      <c r="BG258" s="66">
        <f t="shared" si="249"/>
        <v>9.0909424963532359</v>
      </c>
      <c r="BH258" s="63">
        <f t="shared" si="250"/>
        <v>68.112528393499403</v>
      </c>
      <c r="BI258" s="60" t="e">
        <f t="shared" si="255"/>
        <v>#NUM!</v>
      </c>
      <c r="BJ258" s="66" t="e">
        <f t="shared" si="251"/>
        <v>#NUM!</v>
      </c>
      <c r="BK258" s="63" t="e">
        <f t="shared" si="256"/>
        <v>#NUM!</v>
      </c>
      <c r="BL258" s="51">
        <f t="shared" si="252"/>
        <v>9.0909424963532359</v>
      </c>
      <c r="BM258" s="63">
        <f t="shared" si="253"/>
        <v>68.112528393499403</v>
      </c>
    </row>
    <row r="259" spans="14:65" x14ac:dyDescent="0.3">
      <c r="N259" s="11">
        <v>41</v>
      </c>
      <c r="O259" s="52">
        <f t="shared" si="254"/>
        <v>2570.3957827688669</v>
      </c>
      <c r="P259" s="50" t="str">
        <f t="shared" si="206"/>
        <v>23.3035714285714</v>
      </c>
      <c r="Q259" s="18" t="str">
        <f t="shared" si="207"/>
        <v>1+6.12556783675619i</v>
      </c>
      <c r="R259" s="18">
        <f t="shared" si="218"/>
        <v>6.2066562110932084</v>
      </c>
      <c r="S259" s="18">
        <f t="shared" si="219"/>
        <v>1.4089736372485673</v>
      </c>
      <c r="T259" s="18" t="str">
        <f t="shared" si="208"/>
        <v>1+0.0285859832381956i</v>
      </c>
      <c r="U259" s="18">
        <f t="shared" si="220"/>
        <v>1.0004084957844441</v>
      </c>
      <c r="V259" s="18">
        <f t="shared" si="221"/>
        <v>2.8578200627813879E-2</v>
      </c>
      <c r="W259" s="32" t="str">
        <f t="shared" si="209"/>
        <v>1-0.0394784451500504i</v>
      </c>
      <c r="X259" s="18">
        <f t="shared" si="222"/>
        <v>1.0007789704182763</v>
      </c>
      <c r="Y259" s="18">
        <f t="shared" si="223"/>
        <v>-3.9457954628851231E-2</v>
      </c>
      <c r="Z259" s="32" t="str">
        <f t="shared" si="210"/>
        <v>0.99997357226208+0.0193758862940363i</v>
      </c>
      <c r="AA259" s="18">
        <f t="shared" si="224"/>
        <v>1.0001612720917885</v>
      </c>
      <c r="AB259" s="18">
        <f t="shared" si="225"/>
        <v>1.937397399176383E-2</v>
      </c>
      <c r="AC259" s="68" t="str">
        <f t="shared" si="226"/>
        <v>0.493071678350625-3.72597986546755i</v>
      </c>
      <c r="AD259" s="66">
        <f t="shared" si="227"/>
        <v>11.500206050185902</v>
      </c>
      <c r="AE259" s="63">
        <f t="shared" si="228"/>
        <v>-82.461653788063856</v>
      </c>
      <c r="AF259" s="51" t="e">
        <f t="shared" si="229"/>
        <v>#NUM!</v>
      </c>
      <c r="AG259" s="51" t="str">
        <f t="shared" si="211"/>
        <v>1-8.57579497145869i</v>
      </c>
      <c r="AH259" s="51">
        <f t="shared" si="230"/>
        <v>8.6339017479061084</v>
      </c>
      <c r="AI259" s="51">
        <f t="shared" si="231"/>
        <v>-1.4547133039510782</v>
      </c>
      <c r="AJ259" s="51" t="str">
        <f t="shared" si="212"/>
        <v>1+0.0285859832381956i</v>
      </c>
      <c r="AK259" s="51">
        <f t="shared" si="232"/>
        <v>1.0004084957844441</v>
      </c>
      <c r="AL259" s="51">
        <f t="shared" si="233"/>
        <v>2.8578200627813879E-2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-0.000170731707317073</v>
      </c>
      <c r="AT259" s="32" t="str">
        <f t="shared" si="215"/>
        <v>0.000613710374605329i</v>
      </c>
      <c r="AU259" s="32">
        <f t="shared" si="239"/>
        <v>6.1371037460532902E-4</v>
      </c>
      <c r="AV259" s="32">
        <f t="shared" si="240"/>
        <v>1.5707963267948966</v>
      </c>
      <c r="AW259" s="32" t="str">
        <f t="shared" si="216"/>
        <v>1+0.130664208842564i</v>
      </c>
      <c r="AX259" s="32">
        <f t="shared" si="241"/>
        <v>1.0085004390045911</v>
      </c>
      <c r="AY259" s="32">
        <f t="shared" si="242"/>
        <v>0.12992811876299079</v>
      </c>
      <c r="AZ259" s="32" t="str">
        <f t="shared" si="217"/>
        <v>1+2.48261996800871i</v>
      </c>
      <c r="BA259" s="32">
        <f t="shared" si="243"/>
        <v>2.6764532324618657</v>
      </c>
      <c r="BB259" s="32">
        <f t="shared" si="244"/>
        <v>1.1878782549758413</v>
      </c>
      <c r="BC259" s="60" t="str">
        <f t="shared" si="245"/>
        <v>-0.64332093344037+0.36225491642385i</v>
      </c>
      <c r="BD259" s="51">
        <f t="shared" si="246"/>
        <v>-2.6353142844957631</v>
      </c>
      <c r="BE259" s="63">
        <f t="shared" si="247"/>
        <v>150.61607774028693</v>
      </c>
      <c r="BF259" s="60" t="str">
        <f t="shared" si="248"/>
        <v>1.03255119239236+2.57561848466448i</v>
      </c>
      <c r="BG259" s="66">
        <f t="shared" si="249"/>
        <v>8.8648917656901318</v>
      </c>
      <c r="BH259" s="63">
        <f t="shared" si="250"/>
        <v>68.154423952223098</v>
      </c>
      <c r="BI259" s="60" t="e">
        <f t="shared" si="255"/>
        <v>#NUM!</v>
      </c>
      <c r="BJ259" s="66" t="e">
        <f t="shared" si="251"/>
        <v>#NUM!</v>
      </c>
      <c r="BK259" s="63" t="e">
        <f t="shared" si="256"/>
        <v>#NUM!</v>
      </c>
      <c r="BL259" s="51">
        <f t="shared" si="252"/>
        <v>8.8648917656901318</v>
      </c>
      <c r="BM259" s="63">
        <f t="shared" si="253"/>
        <v>68.154423952223098</v>
      </c>
    </row>
    <row r="260" spans="14:65" x14ac:dyDescent="0.3">
      <c r="N260" s="11">
        <v>42</v>
      </c>
      <c r="O260" s="52">
        <f t="shared" si="254"/>
        <v>2630.2679918953822</v>
      </c>
      <c r="P260" s="50" t="str">
        <f t="shared" si="206"/>
        <v>23.3035714285714</v>
      </c>
      <c r="Q260" s="18" t="str">
        <f t="shared" si="207"/>
        <v>1+6.26825064109298i</v>
      </c>
      <c r="R260" s="18">
        <f t="shared" si="218"/>
        <v>6.3475165300739897</v>
      </c>
      <c r="S260" s="18">
        <f t="shared" si="219"/>
        <v>1.4125953254233043</v>
      </c>
      <c r="T260" s="18" t="str">
        <f t="shared" si="208"/>
        <v>1+0.0292518363251006i</v>
      </c>
      <c r="U260" s="18">
        <f t="shared" si="220"/>
        <v>1.000427743481952</v>
      </c>
      <c r="V260" s="18">
        <f t="shared" si="221"/>
        <v>2.9243497300389189E-2</v>
      </c>
      <c r="W260" s="32" t="str">
        <f t="shared" si="209"/>
        <v>1-0.0403980162681866i</v>
      </c>
      <c r="X260" s="18">
        <f t="shared" si="222"/>
        <v>1.0008156672027095</v>
      </c>
      <c r="Y260" s="18">
        <f t="shared" si="223"/>
        <v>-4.0376061245476789E-2</v>
      </c>
      <c r="Z260" s="32" t="str">
        <f t="shared" si="210"/>
        <v>0.999972326761163+0.019827208663916i</v>
      </c>
      <c r="AA260" s="18">
        <f t="shared" si="224"/>
        <v>1.0001688719868944</v>
      </c>
      <c r="AB260" s="18">
        <f t="shared" si="225"/>
        <v>1.9825159613662088E-2</v>
      </c>
      <c r="AC260" s="68" t="str">
        <f t="shared" si="226"/>
        <v>0.466388050286264-3.64552268614536i</v>
      </c>
      <c r="AD260" s="66">
        <f t="shared" si="227"/>
        <v>11.305702648951662</v>
      </c>
      <c r="AE260" s="63">
        <f t="shared" si="228"/>
        <v>-82.709497209913479</v>
      </c>
      <c r="AF260" s="51" t="e">
        <f t="shared" si="229"/>
        <v>#NUM!</v>
      </c>
      <c r="AG260" s="51" t="str">
        <f t="shared" si="211"/>
        <v>1-8.7755508975302i</v>
      </c>
      <c r="AH260" s="51">
        <f t="shared" si="230"/>
        <v>8.832343604907086</v>
      </c>
      <c r="AI260" s="51">
        <f t="shared" si="231"/>
        <v>-1.4573327961572669</v>
      </c>
      <c r="AJ260" s="51" t="str">
        <f t="shared" si="212"/>
        <v>1+0.0292518363251006i</v>
      </c>
      <c r="AK260" s="51">
        <f t="shared" si="232"/>
        <v>1.000427743481952</v>
      </c>
      <c r="AL260" s="51">
        <f t="shared" si="233"/>
        <v>2.9243497300389189E-2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-0.000170731707317073</v>
      </c>
      <c r="AT260" s="32" t="str">
        <f t="shared" si="215"/>
        <v>0.000628005525623629i</v>
      </c>
      <c r="AU260" s="32">
        <f t="shared" si="239"/>
        <v>6.2800552562362899E-4</v>
      </c>
      <c r="AV260" s="32">
        <f t="shared" si="240"/>
        <v>1.5707963267948966</v>
      </c>
      <c r="AW260" s="32" t="str">
        <f t="shared" si="216"/>
        <v>1+0.133707769250504i</v>
      </c>
      <c r="AX260" s="32">
        <f t="shared" si="241"/>
        <v>1.0088992851409628</v>
      </c>
      <c r="AY260" s="32">
        <f t="shared" si="242"/>
        <v>0.13291940978648409</v>
      </c>
      <c r="AZ260" s="32" t="str">
        <f t="shared" si="217"/>
        <v>1+2.54044761575958i</v>
      </c>
      <c r="BA260" s="32">
        <f t="shared" si="243"/>
        <v>2.7301783986433077</v>
      </c>
      <c r="BB260" s="32">
        <f t="shared" si="244"/>
        <v>1.1957921334141861</v>
      </c>
      <c r="BC260" s="60" t="str">
        <f t="shared" si="245"/>
        <v>-0.642812388425621+0.357812394423893i</v>
      </c>
      <c r="BD260" s="51">
        <f t="shared" si="246"/>
        <v>-2.6661213965368691</v>
      </c>
      <c r="BE260" s="63">
        <f t="shared" si="247"/>
        <v>150.89812122344216</v>
      </c>
      <c r="BF260" s="60" t="str">
        <f t="shared" si="248"/>
        <v>1.00461318471861+2.5102665699445i</v>
      </c>
      <c r="BG260" s="66">
        <f t="shared" si="249"/>
        <v>8.6395812524147804</v>
      </c>
      <c r="BH260" s="63">
        <f t="shared" si="250"/>
        <v>68.188624013528681</v>
      </c>
      <c r="BI260" s="60" t="e">
        <f t="shared" si="255"/>
        <v>#NUM!</v>
      </c>
      <c r="BJ260" s="66" t="e">
        <f t="shared" si="251"/>
        <v>#NUM!</v>
      </c>
      <c r="BK260" s="63" t="e">
        <f t="shared" si="256"/>
        <v>#NUM!</v>
      </c>
      <c r="BL260" s="51">
        <f t="shared" si="252"/>
        <v>8.6395812524147804</v>
      </c>
      <c r="BM260" s="63">
        <f t="shared" si="253"/>
        <v>68.188624013528681</v>
      </c>
    </row>
    <row r="261" spans="14:65" x14ac:dyDescent="0.3">
      <c r="N261" s="11">
        <v>43</v>
      </c>
      <c r="O261" s="52">
        <f t="shared" si="254"/>
        <v>2691.5348039269184</v>
      </c>
      <c r="P261" s="50" t="str">
        <f t="shared" si="206"/>
        <v>23.3035714285714</v>
      </c>
      <c r="Q261" s="18" t="str">
        <f t="shared" si="207"/>
        <v>1+6.41425695488981i</v>
      </c>
      <c r="R261" s="18">
        <f t="shared" si="218"/>
        <v>6.4917403123778987</v>
      </c>
      <c r="S261" s="18">
        <f t="shared" si="219"/>
        <v>1.4161386225025225</v>
      </c>
      <c r="T261" s="18" t="str">
        <f t="shared" si="208"/>
        <v>1+0.0299331991228191i</v>
      </c>
      <c r="U261" s="18">
        <f t="shared" si="220"/>
        <v>1.0004478978985993</v>
      </c>
      <c r="V261" s="18">
        <f t="shared" si="221"/>
        <v>2.9924263912895162E-2</v>
      </c>
      <c r="W261" s="32" t="str">
        <f t="shared" si="209"/>
        <v>1-0.0413390069492794i</v>
      </c>
      <c r="X261" s="18">
        <f t="shared" si="222"/>
        <v>1.0008540920111946</v>
      </c>
      <c r="Y261" s="18">
        <f t="shared" si="223"/>
        <v>-4.1315482802722146E-2</v>
      </c>
      <c r="Z261" s="32" t="str">
        <f t="shared" si="210"/>
        <v>0.999971022561597+0.0202890436822735i</v>
      </c>
      <c r="AA261" s="18">
        <f t="shared" si="224"/>
        <v>1.0001768299937901</v>
      </c>
      <c r="AB261" s="18">
        <f t="shared" si="225"/>
        <v>2.0286848106180293E-2</v>
      </c>
      <c r="AC261" s="68" t="str">
        <f t="shared" si="226"/>
        <v>0.440846854376537-3.56662424214317i</v>
      </c>
      <c r="AD261" s="66">
        <f t="shared" si="227"/>
        <v>11.110996036401197</v>
      </c>
      <c r="AE261" s="63">
        <f t="shared" si="228"/>
        <v>-82.953785816868518</v>
      </c>
      <c r="AF261" s="51" t="e">
        <f t="shared" si="229"/>
        <v>#NUM!</v>
      </c>
      <c r="AG261" s="51" t="str">
        <f t="shared" si="211"/>
        <v>1-8.97995973684575i</v>
      </c>
      <c r="AH261" s="51">
        <f t="shared" si="230"/>
        <v>9.0354677175767044</v>
      </c>
      <c r="AI261" s="51">
        <f t="shared" si="231"/>
        <v>-1.4598941734343818</v>
      </c>
      <c r="AJ261" s="51" t="str">
        <f t="shared" si="212"/>
        <v>1+0.0299331991228191i</v>
      </c>
      <c r="AK261" s="51">
        <f t="shared" si="232"/>
        <v>1.0004478978985993</v>
      </c>
      <c r="AL261" s="51">
        <f t="shared" si="233"/>
        <v>2.9924263912895162E-2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-0.000170731707317073</v>
      </c>
      <c r="AT261" s="32" t="str">
        <f t="shared" si="215"/>
        <v>0.000642633653484252i</v>
      </c>
      <c r="AU261" s="32">
        <f t="shared" si="239"/>
        <v>6.4263365348425205E-4</v>
      </c>
      <c r="AV261" s="32">
        <f t="shared" si="240"/>
        <v>1.5707963267948966</v>
      </c>
      <c r="AW261" s="32" t="str">
        <f t="shared" si="216"/>
        <v>1+0.136822223287533i</v>
      </c>
      <c r="AX261" s="32">
        <f t="shared" si="241"/>
        <v>1.0093167593899071</v>
      </c>
      <c r="AY261" s="32">
        <f t="shared" si="242"/>
        <v>0.1359779014712314</v>
      </c>
      <c r="AZ261" s="32" t="str">
        <f t="shared" si="217"/>
        <v>1+2.59962224246314i</v>
      </c>
      <c r="BA261" s="32">
        <f t="shared" si="243"/>
        <v>2.785325080400685</v>
      </c>
      <c r="BB261" s="32">
        <f t="shared" si="244"/>
        <v>1.2035738067196255</v>
      </c>
      <c r="BC261" s="60" t="str">
        <f t="shared" si="245"/>
        <v>-0.642280737449954+0.353553296255176i</v>
      </c>
      <c r="BD261" s="51">
        <f t="shared" si="246"/>
        <v>-2.6960175308837311</v>
      </c>
      <c r="BE261" s="63">
        <f t="shared" si="247"/>
        <v>151.16873959618155</v>
      </c>
      <c r="BF261" s="60" t="str">
        <f t="shared" si="248"/>
        <v>0.977844314581882+2.44663690695915i</v>
      </c>
      <c r="BG261" s="66">
        <f t="shared" si="249"/>
        <v>8.4149785055174711</v>
      </c>
      <c r="BH261" s="63">
        <f t="shared" si="250"/>
        <v>68.214953779313049</v>
      </c>
      <c r="BI261" s="60" t="e">
        <f t="shared" si="255"/>
        <v>#NUM!</v>
      </c>
      <c r="BJ261" s="66" t="e">
        <f t="shared" si="251"/>
        <v>#NUM!</v>
      </c>
      <c r="BK261" s="63" t="e">
        <f t="shared" si="256"/>
        <v>#NUM!</v>
      </c>
      <c r="BL261" s="51">
        <f t="shared" si="252"/>
        <v>8.4149785055174711</v>
      </c>
      <c r="BM261" s="63">
        <f t="shared" si="253"/>
        <v>68.214953779313049</v>
      </c>
    </row>
    <row r="262" spans="14:65" x14ac:dyDescent="0.3">
      <c r="N262" s="11">
        <v>44</v>
      </c>
      <c r="O262" s="52">
        <f t="shared" si="254"/>
        <v>2754.228703338169</v>
      </c>
      <c r="P262" s="50" t="str">
        <f t="shared" si="206"/>
        <v>23.3035714285714</v>
      </c>
      <c r="Q262" s="18" t="str">
        <f t="shared" si="207"/>
        <v>1+6.56366419262684i</v>
      </c>
      <c r="R262" s="18">
        <f t="shared" si="218"/>
        <v>6.6394041625413758</v>
      </c>
      <c r="S262" s="18">
        <f t="shared" si="219"/>
        <v>1.4196050511196754</v>
      </c>
      <c r="T262" s="18" t="str">
        <f t="shared" si="208"/>
        <v>1+0.0306304328989253i</v>
      </c>
      <c r="U262" s="18">
        <f t="shared" si="220"/>
        <v>1.0004690017284772</v>
      </c>
      <c r="V262" s="18">
        <f t="shared" si="221"/>
        <v>3.0620858891383371E-2</v>
      </c>
      <c r="W262" s="32" t="str">
        <f t="shared" si="209"/>
        <v>1-0.0423019161190431i</v>
      </c>
      <c r="X262" s="18">
        <f t="shared" si="222"/>
        <v>1.0008943261440453</v>
      </c>
      <c r="Y262" s="18">
        <f t="shared" si="223"/>
        <v>-4.2276710758137444E-2</v>
      </c>
      <c r="Z262" s="32" t="str">
        <f t="shared" si="210"/>
        <v>0.999969656896999+0.0207616362201486i</v>
      </c>
      <c r="AA262" s="18">
        <f t="shared" si="224"/>
        <v>1.0001851629839544</v>
      </c>
      <c r="AB262" s="18">
        <f t="shared" si="225"/>
        <v>2.0759283641328702E-2</v>
      </c>
      <c r="AC262" s="68" t="str">
        <f t="shared" si="226"/>
        <v>0.416401617402906-3.48926650053168i</v>
      </c>
      <c r="AD262" s="66">
        <f t="shared" si="227"/>
        <v>10.916096698023662</v>
      </c>
      <c r="AE262" s="63">
        <f t="shared" si="228"/>
        <v>-83.194628461568684</v>
      </c>
      <c r="AF262" s="51" t="e">
        <f t="shared" si="229"/>
        <v>#NUM!</v>
      </c>
      <c r="AG262" s="51" t="str">
        <f t="shared" si="211"/>
        <v>1-9.1891298696776i</v>
      </c>
      <c r="AH262" s="51">
        <f t="shared" si="230"/>
        <v>9.243381835767746</v>
      </c>
      <c r="AI262" s="51">
        <f t="shared" si="231"/>
        <v>-1.4623986593512683</v>
      </c>
      <c r="AJ262" s="51" t="str">
        <f t="shared" si="212"/>
        <v>1+0.0306304328989253i</v>
      </c>
      <c r="AK262" s="51">
        <f t="shared" si="232"/>
        <v>1.0004690017284772</v>
      </c>
      <c r="AL262" s="51">
        <f t="shared" si="233"/>
        <v>3.0620858891383371E-2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-0.000170731707317073</v>
      </c>
      <c r="AT262" s="32" t="str">
        <f t="shared" si="215"/>
        <v>0.000657602514214213i</v>
      </c>
      <c r="AU262" s="32">
        <f t="shared" si="239"/>
        <v>6.5760251421421295E-4</v>
      </c>
      <c r="AV262" s="32">
        <f t="shared" si="240"/>
        <v>1.5707963267948966</v>
      </c>
      <c r="AW262" s="32" t="str">
        <f t="shared" si="216"/>
        <v>1+0.140009222278406i</v>
      </c>
      <c r="AX262" s="32">
        <f t="shared" si="241"/>
        <v>1.0097537235994747</v>
      </c>
      <c r="AY262" s="32">
        <f t="shared" si="242"/>
        <v>0.13910498646709252</v>
      </c>
      <c r="AZ262" s="32" t="str">
        <f t="shared" si="217"/>
        <v>1+2.66017522328971i</v>
      </c>
      <c r="BA262" s="32">
        <f t="shared" si="243"/>
        <v>2.8419240346294372</v>
      </c>
      <c r="BB262" s="32">
        <f t="shared" si="244"/>
        <v>1.2112236300957577</v>
      </c>
      <c r="BC262" s="60" t="str">
        <f t="shared" si="245"/>
        <v>-0.641724972291199+0.349474930342296i</v>
      </c>
      <c r="BD262" s="51">
        <f t="shared" si="246"/>
        <v>-2.7250456020295948</v>
      </c>
      <c r="BE262" s="63">
        <f t="shared" si="247"/>
        <v>151.42787341721288</v>
      </c>
      <c r="BF262" s="60" t="str">
        <f t="shared" si="248"/>
        <v>0.952195850829126+2.3846713746066i</v>
      </c>
      <c r="BG262" s="66">
        <f t="shared" si="249"/>
        <v>8.1910510959940623</v>
      </c>
      <c r="BH262" s="63">
        <f t="shared" si="250"/>
        <v>68.233244955644167</v>
      </c>
      <c r="BI262" s="60" t="e">
        <f t="shared" si="255"/>
        <v>#NUM!</v>
      </c>
      <c r="BJ262" s="66" t="e">
        <f t="shared" si="251"/>
        <v>#NUM!</v>
      </c>
      <c r="BK262" s="63" t="e">
        <f t="shared" si="256"/>
        <v>#NUM!</v>
      </c>
      <c r="BL262" s="51">
        <f t="shared" si="252"/>
        <v>8.1910510959940623</v>
      </c>
      <c r="BM262" s="63">
        <f t="shared" si="253"/>
        <v>68.233244955644167</v>
      </c>
    </row>
    <row r="263" spans="14:65" x14ac:dyDescent="0.3">
      <c r="N263" s="11">
        <v>45</v>
      </c>
      <c r="O263" s="52">
        <f t="shared" si="254"/>
        <v>2818.3829312644561</v>
      </c>
      <c r="P263" s="50" t="str">
        <f t="shared" si="206"/>
        <v>23.3035714285714</v>
      </c>
      <c r="Q263" s="18" t="str">
        <f t="shared" si="207"/>
        <v>1+6.71655157199916i</v>
      </c>
      <c r="R263" s="18">
        <f t="shared" si="218"/>
        <v>6.7905865003933492</v>
      </c>
      <c r="S263" s="18">
        <f t="shared" si="219"/>
        <v>1.4229961158253173</v>
      </c>
      <c r="T263" s="18" t="str">
        <f t="shared" si="208"/>
        <v>1+0.0313439073359961i</v>
      </c>
      <c r="U263" s="18">
        <f t="shared" si="220"/>
        <v>1.0004910996740988</v>
      </c>
      <c r="V263" s="18">
        <f t="shared" si="221"/>
        <v>3.1333648874033372E-2</v>
      </c>
      <c r="W263" s="32" t="str">
        <f t="shared" si="209"/>
        <v>1-0.043287254324665i</v>
      </c>
      <c r="X263" s="18">
        <f t="shared" si="222"/>
        <v>1.000936454719763</v>
      </c>
      <c r="Y263" s="18">
        <f t="shared" si="223"/>
        <v>-4.3260247658375703E-2</v>
      </c>
      <c r="Z263" s="32" t="str">
        <f t="shared" si="210"/>
        <v>0.999968226870611+0.0212452368523604i</v>
      </c>
      <c r="AA263" s="18">
        <f t="shared" si="224"/>
        <v>1.0001938886234343</v>
      </c>
      <c r="AB263" s="18">
        <f t="shared" si="225"/>
        <v>2.1242716044936386E-2</v>
      </c>
      <c r="AC263" s="68" t="str">
        <f t="shared" si="226"/>
        <v>0.393007543852202-3.41343077973253i</v>
      </c>
      <c r="AD263" s="66">
        <f t="shared" si="227"/>
        <v>10.721014773075252</v>
      </c>
      <c r="AE263" s="63">
        <f t="shared" si="228"/>
        <v>-83.43213344935829</v>
      </c>
      <c r="AF263" s="51" t="e">
        <f t="shared" si="229"/>
        <v>#NUM!</v>
      </c>
      <c r="AG263" s="51" t="str">
        <f t="shared" si="211"/>
        <v>1-9.40317220079885i</v>
      </c>
      <c r="AH263" s="51">
        <f t="shared" si="230"/>
        <v>9.4561962457362458</v>
      </c>
      <c r="AI263" s="51">
        <f t="shared" si="231"/>
        <v>-1.4648474560771594</v>
      </c>
      <c r="AJ263" s="51" t="str">
        <f t="shared" si="212"/>
        <v>1+0.0313439073359961i</v>
      </c>
      <c r="AK263" s="51">
        <f t="shared" si="232"/>
        <v>1.0004910996740988</v>
      </c>
      <c r="AL263" s="51">
        <f t="shared" si="233"/>
        <v>3.1333648874033372E-2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-0.000170731707317073</v>
      </c>
      <c r="AT263" s="32" t="str">
        <f t="shared" si="215"/>
        <v>0.000672920044501609i</v>
      </c>
      <c r="AU263" s="32">
        <f t="shared" si="239"/>
        <v>6.7292004450160902E-4</v>
      </c>
      <c r="AV263" s="32">
        <f t="shared" si="240"/>
        <v>1.5707963267948966</v>
      </c>
      <c r="AW263" s="32" t="str">
        <f t="shared" si="216"/>
        <v>1+0.143270456012171i</v>
      </c>
      <c r="AX263" s="32">
        <f t="shared" si="241"/>
        <v>1.0102110787186682</v>
      </c>
      <c r="AY263" s="32">
        <f t="shared" si="242"/>
        <v>0.14230207803773115</v>
      </c>
      <c r="AZ263" s="32" t="str">
        <f t="shared" si="217"/>
        <v>1+2.72213866423125i</v>
      </c>
      <c r="BA263" s="32">
        <f t="shared" si="243"/>
        <v>2.9000067081478784</v>
      </c>
      <c r="BB263" s="32">
        <f t="shared" si="244"/>
        <v>1.2187420772423114</v>
      </c>
      <c r="BC263" s="60" t="str">
        <f t="shared" si="245"/>
        <v>-0.64114404466176+0.345574671921595i</v>
      </c>
      <c r="BD263" s="51">
        <f t="shared" si="246"/>
        <v>-2.753248123759537</v>
      </c>
      <c r="BE263" s="63">
        <f t="shared" si="247"/>
        <v>151.67546885348818</v>
      </c>
      <c r="BF263" s="60" t="str">
        <f t="shared" si="248"/>
        <v>0.927620775585159+2.3243142693201i</v>
      </c>
      <c r="BG263" s="66">
        <f t="shared" si="249"/>
        <v>7.9677666493157284</v>
      </c>
      <c r="BH263" s="63">
        <f t="shared" si="250"/>
        <v>68.243335404129922</v>
      </c>
      <c r="BI263" s="60" t="e">
        <f t="shared" si="255"/>
        <v>#NUM!</v>
      </c>
      <c r="BJ263" s="66" t="e">
        <f t="shared" si="251"/>
        <v>#NUM!</v>
      </c>
      <c r="BK263" s="63" t="e">
        <f t="shared" si="256"/>
        <v>#NUM!</v>
      </c>
      <c r="BL263" s="51">
        <f t="shared" si="252"/>
        <v>7.9677666493157284</v>
      </c>
      <c r="BM263" s="63">
        <f t="shared" si="253"/>
        <v>68.243335404129922</v>
      </c>
    </row>
    <row r="264" spans="14:65" x14ac:dyDescent="0.3">
      <c r="N264" s="11">
        <v>46</v>
      </c>
      <c r="O264" s="52">
        <f t="shared" si="254"/>
        <v>2884.0315031266077</v>
      </c>
      <c r="P264" s="50" t="str">
        <f t="shared" si="206"/>
        <v>23.3035714285714</v>
      </c>
      <c r="Q264" s="18" t="str">
        <f t="shared" si="207"/>
        <v>1+6.87300015591903i</v>
      </c>
      <c r="R264" s="18">
        <f t="shared" si="218"/>
        <v>6.9453676031771705</v>
      </c>
      <c r="S264" s="18">
        <f t="shared" si="219"/>
        <v>1.4263133024860708</v>
      </c>
      <c r="T264" s="18" t="str">
        <f t="shared" si="208"/>
        <v>1+0.0320740007276221i</v>
      </c>
      <c r="U264" s="18">
        <f t="shared" si="220"/>
        <v>1.0005142385406993</v>
      </c>
      <c r="V264" s="18">
        <f t="shared" si="221"/>
        <v>3.2063008892696768E-2</v>
      </c>
      <c r="W264" s="32" t="str">
        <f t="shared" si="209"/>
        <v>1-0.0442955440055045i</v>
      </c>
      <c r="X264" s="18">
        <f t="shared" si="222"/>
        <v>1.0009805668536944</v>
      </c>
      <c r="Y264" s="18">
        <f t="shared" si="223"/>
        <v>-4.426660737202974E-2</v>
      </c>
      <c r="Z264" s="32" t="str">
        <f t="shared" si="210"/>
        <v>0.999966729449156+0.0217401019903652i</v>
      </c>
      <c r="AA264" s="18">
        <f t="shared" si="224"/>
        <v>1.0002030254102381</v>
      </c>
      <c r="AB264" s="18">
        <f t="shared" si="225"/>
        <v>2.1737400925940148E-2</v>
      </c>
      <c r="AC264" s="68" t="str">
        <f t="shared" si="226"/>
        <v>0.370621473993664-3.33909782471145i</v>
      </c>
      <c r="AD264" s="66">
        <f t="shared" si="227"/>
        <v>10.525760070750604</v>
      </c>
      <c r="AE264" s="63">
        <f t="shared" si="228"/>
        <v>-83.666408514196405</v>
      </c>
      <c r="AF264" s="51" t="e">
        <f t="shared" si="229"/>
        <v>#NUM!</v>
      </c>
      <c r="AG264" s="51" t="str">
        <f t="shared" si="211"/>
        <v>1-9.62220021828666i</v>
      </c>
      <c r="AH264" s="51">
        <f t="shared" si="230"/>
        <v>9.6740238288313005</v>
      </c>
      <c r="AI264" s="51">
        <f t="shared" si="231"/>
        <v>-1.4672417444567869</v>
      </c>
      <c r="AJ264" s="51" t="str">
        <f t="shared" si="212"/>
        <v>1+0.0320740007276221i</v>
      </c>
      <c r="AK264" s="51">
        <f t="shared" si="232"/>
        <v>1.0005142385406993</v>
      </c>
      <c r="AL264" s="51">
        <f t="shared" si="233"/>
        <v>3.2063008892696768E-2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-0.000170731707317073</v>
      </c>
      <c r="AT264" s="32" t="str">
        <f t="shared" si="215"/>
        <v>0.00068859436590375i</v>
      </c>
      <c r="AU264" s="32">
        <f t="shared" si="239"/>
        <v>6.8859436590374995E-4</v>
      </c>
      <c r="AV264" s="32">
        <f t="shared" si="240"/>
        <v>1.5707963267948966</v>
      </c>
      <c r="AW264" s="32" t="str">
        <f t="shared" si="216"/>
        <v>1+0.146607653638123i</v>
      </c>
      <c r="AX264" s="32">
        <f t="shared" si="241"/>
        <v>1.0106897664987391</v>
      </c>
      <c r="AY264" s="32">
        <f t="shared" si="242"/>
        <v>0.14557060975672514</v>
      </c>
      <c r="AZ264" s="32" t="str">
        <f t="shared" si="217"/>
        <v>1+2.78554541912434i</v>
      </c>
      <c r="BA264" s="32">
        <f t="shared" si="243"/>
        <v>2.9596052578012149</v>
      </c>
      <c r="BB264" s="32">
        <f t="shared" si="244"/>
        <v>1.2261297335827868</v>
      </c>
      <c r="BC264" s="60" t="str">
        <f t="shared" si="245"/>
        <v>-0.640536864990944+0.341849959804894i</v>
      </c>
      <c r="BD264" s="51">
        <f t="shared" si="246"/>
        <v>-2.7806671974656565</v>
      </c>
      <c r="BE264" s="63">
        <f t="shared" si="247"/>
        <v>151.91147730958741</v>
      </c>
      <c r="BF264" s="60" t="str">
        <f t="shared" si="248"/>
        <v>0.904073740111994+2.26551218852632i</v>
      </c>
      <c r="BG264" s="66">
        <f t="shared" si="249"/>
        <v>7.7450928732849569</v>
      </c>
      <c r="BH264" s="63">
        <f t="shared" si="250"/>
        <v>68.245068795391035</v>
      </c>
      <c r="BI264" s="60" t="e">
        <f t="shared" si="255"/>
        <v>#NUM!</v>
      </c>
      <c r="BJ264" s="66" t="e">
        <f t="shared" si="251"/>
        <v>#NUM!</v>
      </c>
      <c r="BK264" s="63" t="e">
        <f t="shared" si="256"/>
        <v>#NUM!</v>
      </c>
      <c r="BL264" s="51">
        <f t="shared" si="252"/>
        <v>7.7450928732849569</v>
      </c>
      <c r="BM264" s="63">
        <f t="shared" si="253"/>
        <v>68.245068795391035</v>
      </c>
    </row>
    <row r="265" spans="14:65" x14ac:dyDescent="0.3">
      <c r="N265" s="11">
        <v>47</v>
      </c>
      <c r="O265" s="52">
        <f t="shared" si="254"/>
        <v>2951.2092266663876</v>
      </c>
      <c r="P265" s="50" t="str">
        <f t="shared" si="206"/>
        <v>23.3035714285714</v>
      </c>
      <c r="Q265" s="18" t="str">
        <f t="shared" si="207"/>
        <v>1+7.03309289549646i</v>
      </c>
      <c r="R265" s="18">
        <f t="shared" si="218"/>
        <v>7.1038296486249424</v>
      </c>
      <c r="S265" s="18">
        <f t="shared" si="219"/>
        <v>1.4295580777551902</v>
      </c>
      <c r="T265" s="18" t="str">
        <f t="shared" si="208"/>
        <v>1+0.0328211001789835i</v>
      </c>
      <c r="U265" s="18">
        <f t="shared" si="220"/>
        <v>1.000538467334944</v>
      </c>
      <c r="V265" s="18">
        <f t="shared" si="221"/>
        <v>3.2809322557976667E-2</v>
      </c>
      <c r="W265" s="32" t="str">
        <f t="shared" si="209"/>
        <v>1-0.0453273197700965i</v>
      </c>
      <c r="X265" s="18">
        <f t="shared" si="222"/>
        <v>1.0010267558449877</v>
      </c>
      <c r="Y265" s="18">
        <f t="shared" si="223"/>
        <v>-4.529631532609147E-2</v>
      </c>
      <c r="Z265" s="32" t="str">
        <f t="shared" si="210"/>
        <v>0.999965161456402+0.0222464940182096i</v>
      </c>
      <c r="AA265" s="18">
        <f t="shared" si="224"/>
        <v>1.0002125927134842</v>
      </c>
      <c r="AB265" s="18">
        <f t="shared" si="225"/>
        <v>2.2243599808513835E-2</v>
      </c>
      <c r="AC265" s="68" t="str">
        <f t="shared" si="226"/>
        <v>0.349201841224981-3.26624787747525i</v>
      </c>
      <c r="AD265" s="66">
        <f t="shared" si="227"/>
        <v>10.330342086084558</v>
      </c>
      <c r="AE265" s="63">
        <f t="shared" si="228"/>
        <v>-83.897560798836381</v>
      </c>
      <c r="AF265" s="51" t="e">
        <f t="shared" si="229"/>
        <v>#NUM!</v>
      </c>
      <c r="AG265" s="51" t="str">
        <f t="shared" si="211"/>
        <v>1-9.84633005369507i</v>
      </c>
      <c r="AH265" s="51">
        <f t="shared" si="230"/>
        <v>9.8969801215471147</v>
      </c>
      <c r="AI265" s="51">
        <f t="shared" si="231"/>
        <v>-1.4695826841093056</v>
      </c>
      <c r="AJ265" s="51" t="str">
        <f t="shared" si="212"/>
        <v>1+0.0328211001789835i</v>
      </c>
      <c r="AK265" s="51">
        <f t="shared" si="232"/>
        <v>1.000538467334944</v>
      </c>
      <c r="AL265" s="51">
        <f t="shared" si="233"/>
        <v>3.2809322557976667E-2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-0.000170731707317073</v>
      </c>
      <c r="AT265" s="32" t="str">
        <f t="shared" si="215"/>
        <v>0.000704633789153317i</v>
      </c>
      <c r="AU265" s="32">
        <f t="shared" si="239"/>
        <v>7.0463378915331699E-4</v>
      </c>
      <c r="AV265" s="32">
        <f t="shared" si="240"/>
        <v>1.5707963267948966</v>
      </c>
      <c r="AW265" s="32" t="str">
        <f t="shared" si="216"/>
        <v>1+0.150022584582615i</v>
      </c>
      <c r="AX265" s="32">
        <f t="shared" si="241"/>
        <v>1.0111907712617081</v>
      </c>
      <c r="AY265" s="32">
        <f t="shared" si="242"/>
        <v>0.14891203514767393</v>
      </c>
      <c r="AZ265" s="32" t="str">
        <f t="shared" si="217"/>
        <v>1+2.85042910706969i</v>
      </c>
      <c r="BA265" s="32">
        <f t="shared" si="243"/>
        <v>3.0207525708720517</v>
      </c>
      <c r="BB265" s="32">
        <f t="shared" si="244"/>
        <v>1.2333872895815112</v>
      </c>
      <c r="BC265" s="60" t="str">
        <f t="shared" si="245"/>
        <v>-0.639902301207783+0.338298293071285i</v>
      </c>
      <c r="BD265" s="51">
        <f t="shared" si="246"/>
        <v>-2.8073445046183787</v>
      </c>
      <c r="BE265" s="63">
        <f t="shared" si="247"/>
        <v>152.13585506543498</v>
      </c>
      <c r="BF265" s="60" t="str">
        <f t="shared" si="248"/>
        <v>0.881511019911725+2.20821391993521i</v>
      </c>
      <c r="BG265" s="66">
        <f t="shared" si="249"/>
        <v>7.5229975814661785</v>
      </c>
      <c r="BH265" s="63">
        <f t="shared" si="250"/>
        <v>68.238294266598601</v>
      </c>
      <c r="BI265" s="60" t="e">
        <f t="shared" si="255"/>
        <v>#NUM!</v>
      </c>
      <c r="BJ265" s="66" t="e">
        <f t="shared" si="251"/>
        <v>#NUM!</v>
      </c>
      <c r="BK265" s="63" t="e">
        <f t="shared" si="256"/>
        <v>#NUM!</v>
      </c>
      <c r="BL265" s="51">
        <f t="shared" si="252"/>
        <v>7.5229975814661785</v>
      </c>
      <c r="BM265" s="63">
        <f t="shared" si="253"/>
        <v>68.238294266598601</v>
      </c>
    </row>
    <row r="266" spans="14:65" x14ac:dyDescent="0.3">
      <c r="N266" s="11">
        <v>48</v>
      </c>
      <c r="O266" s="52">
        <f t="shared" si="254"/>
        <v>3019.9517204020176</v>
      </c>
      <c r="P266" s="50" t="str">
        <f t="shared" si="206"/>
        <v>23.3035714285714</v>
      </c>
      <c r="Q266" s="18" t="str">
        <f t="shared" si="207"/>
        <v>1+7.19691467402109i</v>
      </c>
      <c r="R266" s="18">
        <f t="shared" si="218"/>
        <v>7.2660567590089808</v>
      </c>
      <c r="S266" s="18">
        <f t="shared" si="219"/>
        <v>1.4327318886102012</v>
      </c>
      <c r="T266" s="18" t="str">
        <f t="shared" si="208"/>
        <v>1+0.0335856018120984i</v>
      </c>
      <c r="U266" s="18">
        <f t="shared" si="220"/>
        <v>1.0005638373682515</v>
      </c>
      <c r="V266" s="18">
        <f t="shared" si="221"/>
        <v>3.3572982247877074E-2</v>
      </c>
      <c r="W266" s="32" t="str">
        <f t="shared" si="209"/>
        <v>1-0.0463831286796086i</v>
      </c>
      <c r="X266" s="18">
        <f t="shared" si="222"/>
        <v>1.0010751193722223</v>
      </c>
      <c r="Y266" s="18">
        <f t="shared" si="223"/>
        <v>-4.6349908745994262E-2</v>
      </c>
      <c r="Z266" s="32" t="str">
        <f t="shared" si="210"/>
        <v>0.999963519566426+0.0227646814316496i</v>
      </c>
      <c r="AA266" s="18">
        <f t="shared" si="224"/>
        <v>1.0002226108143919</v>
      </c>
      <c r="AB266" s="18">
        <f t="shared" si="225"/>
        <v>2.2761580267090738E-2</v>
      </c>
      <c r="AC266" s="68" t="str">
        <f t="shared" si="226"/>
        <v>0.328708628909509-3.19486074307696i</v>
      </c>
      <c r="AD266" s="66">
        <f t="shared" si="227"/>
        <v>10.134770015584454</v>
      </c>
      <c r="AE266" s="63">
        <f t="shared" si="228"/>
        <v>-84.125696839015646</v>
      </c>
      <c r="AF266" s="51" t="e">
        <f t="shared" si="229"/>
        <v>#NUM!</v>
      </c>
      <c r="AG266" s="51" t="str">
        <f t="shared" si="211"/>
        <v>1-10.0756805436295i</v>
      </c>
      <c r="AH266" s="51">
        <f t="shared" si="230"/>
        <v>10.12518337697022</v>
      </c>
      <c r="AI266" s="51">
        <f t="shared" si="231"/>
        <v>-1.4718714135489952</v>
      </c>
      <c r="AJ266" s="51" t="str">
        <f t="shared" si="212"/>
        <v>1+0.0335856018120984i</v>
      </c>
      <c r="AK266" s="51">
        <f t="shared" si="232"/>
        <v>1.0005638373682515</v>
      </c>
      <c r="AL266" s="51">
        <f t="shared" si="233"/>
        <v>3.3572982247877074E-2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-0.000170731707317073</v>
      </c>
      <c r="AT266" s="32" t="str">
        <f t="shared" si="215"/>
        <v>0.000721046818564824i</v>
      </c>
      <c r="AU266" s="32">
        <f t="shared" si="239"/>
        <v>7.2104681856482403E-4</v>
      </c>
      <c r="AV266" s="32">
        <f t="shared" si="240"/>
        <v>1.5707963267948966</v>
      </c>
      <c r="AW266" s="32" t="str">
        <f t="shared" si="216"/>
        <v>1+0.153517059487236i</v>
      </c>
      <c r="AX266" s="32">
        <f t="shared" si="241"/>
        <v>1.0117151217381342</v>
      </c>
      <c r="AY266" s="32">
        <f t="shared" si="242"/>
        <v>0.15232782726433861</v>
      </c>
      <c r="AZ266" s="32" t="str">
        <f t="shared" si="217"/>
        <v>1+2.9168241302575i</v>
      </c>
      <c r="BA266" s="32">
        <f t="shared" si="243"/>
        <v>3.083482285801626</v>
      </c>
      <c r="BB266" s="32">
        <f t="shared" si="244"/>
        <v>1.2405155341729046</v>
      </c>
      <c r="BC266" s="60" t="str">
        <f t="shared" si="245"/>
        <v>-0.639239177529072+0.334917227680671i</v>
      </c>
      <c r="BD266" s="51">
        <f t="shared" si="246"/>
        <v>-2.8333213031917297</v>
      </c>
      <c r="BE266" s="63">
        <f t="shared" si="247"/>
        <v>152.34856292387985</v>
      </c>
      <c r="BF266" s="60" t="str">
        <f t="shared" si="248"/>
        <v>0.859890469306321+2.15237033643352i</v>
      </c>
      <c r="BG266" s="66">
        <f t="shared" si="249"/>
        <v>7.3014487123927143</v>
      </c>
      <c r="BH266" s="63">
        <f t="shared" si="250"/>
        <v>68.222866084864179</v>
      </c>
      <c r="BI266" s="60" t="e">
        <f t="shared" si="255"/>
        <v>#NUM!</v>
      </c>
      <c r="BJ266" s="66" t="e">
        <f t="shared" si="251"/>
        <v>#NUM!</v>
      </c>
      <c r="BK266" s="63" t="e">
        <f t="shared" si="256"/>
        <v>#NUM!</v>
      </c>
      <c r="BL266" s="51">
        <f t="shared" si="252"/>
        <v>7.3014487123927143</v>
      </c>
      <c r="BM266" s="63">
        <f t="shared" si="253"/>
        <v>68.222866084864179</v>
      </c>
    </row>
    <row r="267" spans="14:65" x14ac:dyDescent="0.3">
      <c r="N267" s="11">
        <v>49</v>
      </c>
      <c r="O267" s="52">
        <f t="shared" si="254"/>
        <v>3090.295432513592</v>
      </c>
      <c r="P267" s="50" t="str">
        <f t="shared" si="206"/>
        <v>23.3035714285714</v>
      </c>
      <c r="Q267" s="18" t="str">
        <f t="shared" si="207"/>
        <v>1+7.3645523519683i</v>
      </c>
      <c r="R267" s="18">
        <f t="shared" si="218"/>
        <v>7.4321350461951239</v>
      </c>
      <c r="S267" s="18">
        <f t="shared" si="219"/>
        <v>1.4358361619533002</v>
      </c>
      <c r="T267" s="18" t="str">
        <f t="shared" si="208"/>
        <v>1+0.0343679109758521i</v>
      </c>
      <c r="U267" s="18">
        <f t="shared" si="220"/>
        <v>1.0005904023649457</v>
      </c>
      <c r="V267" s="18">
        <f t="shared" si="221"/>
        <v>3.4354389300052655E-2</v>
      </c>
      <c r="W267" s="32" t="str">
        <f t="shared" si="209"/>
        <v>1-0.0474635305378999i</v>
      </c>
      <c r="X267" s="18">
        <f t="shared" si="222"/>
        <v>1.0011257596981122</v>
      </c>
      <c r="Y267" s="18">
        <f t="shared" si="223"/>
        <v>-4.7427936899184314E-2</v>
      </c>
      <c r="Z267" s="32" t="str">
        <f t="shared" si="210"/>
        <v>0.999961800296559+0.0232949389805108i</v>
      </c>
      <c r="AA267" s="18">
        <f t="shared" si="224"/>
        <v>1.0002331009491943</v>
      </c>
      <c r="AB267" s="18">
        <f t="shared" si="225"/>
        <v>2.3291616064334733E-2</v>
      </c>
      <c r="AC267" s="68" t="str">
        <f t="shared" si="226"/>
        <v>0.309103326905039-3.12491585133127i</v>
      </c>
      <c r="AD267" s="66">
        <f t="shared" si="227"/>
        <v>9.9390527725935609</v>
      </c>
      <c r="AE267" s="63">
        <f t="shared" si="228"/>
        <v>-84.350922551405773</v>
      </c>
      <c r="AF267" s="51" t="e">
        <f t="shared" si="229"/>
        <v>#NUM!</v>
      </c>
      <c r="AG267" s="51" t="str">
        <f t="shared" si="211"/>
        <v>1-10.3103732927556i</v>
      </c>
      <c r="AH267" s="51">
        <f t="shared" si="230"/>
        <v>10.358754627655197</v>
      </c>
      <c r="AI267" s="51">
        <f t="shared" si="231"/>
        <v>-1.4741090503258225</v>
      </c>
      <c r="AJ267" s="51" t="str">
        <f t="shared" si="212"/>
        <v>1+0.0343679109758521i</v>
      </c>
      <c r="AK267" s="51">
        <f t="shared" si="232"/>
        <v>1.0005904023649457</v>
      </c>
      <c r="AL267" s="51">
        <f t="shared" si="233"/>
        <v>3.4354389300052655E-2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-0.000170731707317073</v>
      </c>
      <c r="AT267" s="32" t="str">
        <f t="shared" si="215"/>
        <v>0.000737842156543716i</v>
      </c>
      <c r="AU267" s="32">
        <f t="shared" si="239"/>
        <v>7.3784215654371598E-4</v>
      </c>
      <c r="AV267" s="32">
        <f t="shared" si="240"/>
        <v>1.5707963267948966</v>
      </c>
      <c r="AW267" s="32" t="str">
        <f t="shared" si="216"/>
        <v>1+0.157092931168837i</v>
      </c>
      <c r="AX267" s="32">
        <f t="shared" si="241"/>
        <v>1.0122638929761434</v>
      </c>
      <c r="AY267" s="32">
        <f t="shared" si="242"/>
        <v>0.15581947820661352</v>
      </c>
      <c r="AZ267" s="32" t="str">
        <f t="shared" si="217"/>
        <v>1+2.9847656922079i</v>
      </c>
      <c r="BA267" s="32">
        <f t="shared" si="243"/>
        <v>3.1478288132268726</v>
      </c>
      <c r="BB267" s="32">
        <f t="shared" si="244"/>
        <v>1.2475153483230124</v>
      </c>
      <c r="BC267" s="60" t="str">
        <f t="shared" si="245"/>
        <v>-0.638546273257739+0.331704373002503i</v>
      </c>
      <c r="BD267" s="51">
        <f t="shared" si="246"/>
        <v>-2.858638427837128</v>
      </c>
      <c r="BE267" s="63">
        <f t="shared" si="247"/>
        <v>152.54956586953173</v>
      </c>
      <c r="BF267" s="60" t="str">
        <f t="shared" si="248"/>
        <v>0.839171475704641+2.09793429635564i</v>
      </c>
      <c r="BG267" s="66">
        <f t="shared" si="249"/>
        <v>7.0804143447564289</v>
      </c>
      <c r="BH267" s="63">
        <f t="shared" si="250"/>
        <v>68.198643318125932</v>
      </c>
      <c r="BI267" s="60" t="e">
        <f t="shared" si="255"/>
        <v>#NUM!</v>
      </c>
      <c r="BJ267" s="66" t="e">
        <f t="shared" si="251"/>
        <v>#NUM!</v>
      </c>
      <c r="BK267" s="63" t="e">
        <f t="shared" si="256"/>
        <v>#NUM!</v>
      </c>
      <c r="BL267" s="51">
        <f t="shared" si="252"/>
        <v>7.0804143447564289</v>
      </c>
      <c r="BM267" s="63">
        <f t="shared" si="253"/>
        <v>68.198643318125932</v>
      </c>
    </row>
    <row r="268" spans="14:65" x14ac:dyDescent="0.3">
      <c r="N268" s="11">
        <v>50</v>
      </c>
      <c r="O268" s="52">
        <f t="shared" si="254"/>
        <v>3162.2776601683804</v>
      </c>
      <c r="P268" s="50" t="str">
        <f t="shared" si="206"/>
        <v>23.3035714285714</v>
      </c>
      <c r="Q268" s="18" t="str">
        <f t="shared" si="207"/>
        <v>1+7.5360948130539i</v>
      </c>
      <c r="R268" s="18">
        <f t="shared" si="218"/>
        <v>7.6021526577238561</v>
      </c>
      <c r="S268" s="18">
        <f t="shared" si="219"/>
        <v>1.4388723042703948</v>
      </c>
      <c r="T268" s="18" t="str">
        <f t="shared" si="208"/>
        <v>1+0.0351684424609182i</v>
      </c>
      <c r="U268" s="18">
        <f t="shared" si="220"/>
        <v>1.00061821857546</v>
      </c>
      <c r="V268" s="18">
        <f t="shared" si="221"/>
        <v>3.5153954207685988E-2</v>
      </c>
      <c r="W268" s="32" t="str">
        <f t="shared" si="209"/>
        <v>1-0.0485690981883365i</v>
      </c>
      <c r="X268" s="18">
        <f t="shared" si="222"/>
        <v>1.0011787838836919</v>
      </c>
      <c r="Y268" s="18">
        <f t="shared" si="223"/>
        <v>-4.8530961342160527E-2</v>
      </c>
      <c r="Z268" s="32" t="str">
        <f t="shared" si="210"/>
        <v>0.99996+0.0238375478143644i</v>
      </c>
      <c r="AA268" s="18">
        <f t="shared" si="224"/>
        <v>1.0002440853540711</v>
      </c>
      <c r="AB268" s="18">
        <f t="shared" si="225"/>
        <v>2.3833987292114001E-2</v>
      </c>
      <c r="AC268" s="68" t="str">
        <f t="shared" si="226"/>
        <v>0.29034888796397-3.05639231443963i</v>
      </c>
      <c r="AD268" s="66">
        <f t="shared" si="227"/>
        <v>9.7431990023875716</v>
      </c>
      <c r="AE268" s="63">
        <f t="shared" si="228"/>
        <v>-84.573343225085594</v>
      </c>
      <c r="AF268" s="51" t="e">
        <f t="shared" si="229"/>
        <v>#NUM!</v>
      </c>
      <c r="AG268" s="51" t="str">
        <f t="shared" si="211"/>
        <v>1-10.5505327382755i</v>
      </c>
      <c r="AH268" s="51">
        <f t="shared" si="230"/>
        <v>10.597817749962637</v>
      </c>
      <c r="AI268" s="51">
        <f t="shared" si="231"/>
        <v>-1.4762966911840711</v>
      </c>
      <c r="AJ268" s="51" t="str">
        <f t="shared" si="212"/>
        <v>1+0.0351684424609182i</v>
      </c>
      <c r="AK268" s="51">
        <f t="shared" si="232"/>
        <v>1.00061821857546</v>
      </c>
      <c r="AL268" s="51">
        <f t="shared" si="233"/>
        <v>3.5153954207685988E-2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-0.000170731707317073</v>
      </c>
      <c r="AT268" s="32" t="str">
        <f t="shared" si="215"/>
        <v>0.000755028708200504i</v>
      </c>
      <c r="AU268" s="32">
        <f t="shared" si="239"/>
        <v>7.5502870820050403E-4</v>
      </c>
      <c r="AV268" s="32">
        <f t="shared" si="240"/>
        <v>1.5707963267948966</v>
      </c>
      <c r="AW268" s="32" t="str">
        <f t="shared" si="216"/>
        <v>1+0.160752095601913i</v>
      </c>
      <c r="AX268" s="32">
        <f t="shared" si="241"/>
        <v>1.0128382083237217</v>
      </c>
      <c r="AY268" s="32">
        <f t="shared" si="242"/>
        <v>0.15938849856794518</v>
      </c>
      <c r="AZ268" s="32" t="str">
        <f t="shared" si="217"/>
        <v>1+3.05428981643635i</v>
      </c>
      <c r="BA268" s="32">
        <f t="shared" si="243"/>
        <v>3.2138273573399667</v>
      </c>
      <c r="BB268" s="32">
        <f t="shared" si="244"/>
        <v>1.2543876987408309</v>
      </c>
      <c r="BC268" s="60" t="str">
        <f t="shared" si="245"/>
        <v>-0.637822321597458+0.328657388253262i</v>
      </c>
      <c r="BD268" s="51">
        <f t="shared" si="246"/>
        <v>-2.8833362935936258</v>
      </c>
      <c r="BE268" s="63">
        <f t="shared" si="247"/>
        <v>152.7388327401072</v>
      </c>
      <c r="BF268" s="60" t="str">
        <f t="shared" si="248"/>
        <v>0.819314913746652+2.04486054890899i</v>
      </c>
      <c r="BG268" s="66">
        <f t="shared" si="249"/>
        <v>6.8598627087939459</v>
      </c>
      <c r="BH268" s="63">
        <f t="shared" si="250"/>
        <v>68.165489515021591</v>
      </c>
      <c r="BI268" s="60" t="e">
        <f t="shared" si="255"/>
        <v>#NUM!</v>
      </c>
      <c r="BJ268" s="66" t="e">
        <f t="shared" si="251"/>
        <v>#NUM!</v>
      </c>
      <c r="BK268" s="63" t="e">
        <f t="shared" si="256"/>
        <v>#NUM!</v>
      </c>
      <c r="BL268" s="51">
        <f t="shared" si="252"/>
        <v>6.8598627087939459</v>
      </c>
      <c r="BM268" s="63">
        <f t="shared" si="253"/>
        <v>68.165489515021591</v>
      </c>
    </row>
    <row r="269" spans="14:65" x14ac:dyDescent="0.3">
      <c r="N269" s="11">
        <v>51</v>
      </c>
      <c r="O269" s="52">
        <f t="shared" si="254"/>
        <v>3235.9365692962833</v>
      </c>
      <c r="P269" s="50" t="str">
        <f t="shared" si="206"/>
        <v>23.3035714285714</v>
      </c>
      <c r="Q269" s="18" t="str">
        <f t="shared" si="207"/>
        <v>1+7.71163301136139i</v>
      </c>
      <c r="R269" s="18">
        <f t="shared" si="218"/>
        <v>7.7761998239447747</v>
      </c>
      <c r="S269" s="18">
        <f t="shared" si="219"/>
        <v>1.4418417013448575</v>
      </c>
      <c r="T269" s="18" t="str">
        <f t="shared" si="208"/>
        <v>1+0.0359876207196865i</v>
      </c>
      <c r="U269" s="18">
        <f t="shared" si="220"/>
        <v>1.0006473448948257</v>
      </c>
      <c r="V269" s="18">
        <f t="shared" si="221"/>
        <v>3.5972096819017876E-2</v>
      </c>
      <c r="W269" s="32" t="str">
        <f t="shared" si="209"/>
        <v>1-0.0497004178175206i</v>
      </c>
      <c r="X269" s="18">
        <f t="shared" si="222"/>
        <v>1.0012343040124205</v>
      </c>
      <c r="Y269" s="18">
        <f t="shared" si="223"/>
        <v>-4.9659556170908767E-2</v>
      </c>
      <c r="Z269" s="32" t="str">
        <f t="shared" si="210"/>
        <v>0.999958114858078+0.0243927956315965i</v>
      </c>
      <c r="AA269" s="18">
        <f t="shared" si="224"/>
        <v>1.0002555873121859</v>
      </c>
      <c r="AB269" s="18">
        <f t="shared" si="225"/>
        <v>2.4388980515532604E-2</v>
      </c>
      <c r="AC269" s="68" t="str">
        <f t="shared" si="226"/>
        <v>0.272409684165997-2.9892689807216i</v>
      </c>
      <c r="AD269" s="66">
        <f t="shared" si="227"/>
        <v>9.5472170970092591</v>
      </c>
      <c r="AE269" s="63">
        <f t="shared" si="228"/>
        <v>-84.793063516309488</v>
      </c>
      <c r="AF269" s="51" t="e">
        <f t="shared" si="229"/>
        <v>#NUM!</v>
      </c>
      <c r="AG269" s="51" t="str">
        <f t="shared" si="211"/>
        <v>1-10.796286215906i</v>
      </c>
      <c r="AH269" s="51">
        <f t="shared" si="230"/>
        <v>10.842499529894473</v>
      </c>
      <c r="AI269" s="51">
        <f t="shared" si="231"/>
        <v>-1.4784354122373553</v>
      </c>
      <c r="AJ269" s="51" t="str">
        <f t="shared" si="212"/>
        <v>1+0.0359876207196865i</v>
      </c>
      <c r="AK269" s="51">
        <f t="shared" si="232"/>
        <v>1.0006473448948257</v>
      </c>
      <c r="AL269" s="51">
        <f t="shared" si="233"/>
        <v>3.5972096819017876E-2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-0.000170731707317073</v>
      </c>
      <c r="AT269" s="32" t="str">
        <f t="shared" si="215"/>
        <v>0.000772615586072366i</v>
      </c>
      <c r="AU269" s="32">
        <f t="shared" si="239"/>
        <v>7.7261558607236603E-4</v>
      </c>
      <c r="AV269" s="32">
        <f t="shared" si="240"/>
        <v>1.5707963267948966</v>
      </c>
      <c r="AW269" s="32" t="str">
        <f t="shared" si="216"/>
        <v>1+0.164496492923883i</v>
      </c>
      <c r="AX269" s="32">
        <f t="shared" si="241"/>
        <v>1.0134392414862654</v>
      </c>
      <c r="AY269" s="32">
        <f t="shared" si="242"/>
        <v>0.16303641680963601</v>
      </c>
      <c r="AZ269" s="32" t="str">
        <f t="shared" si="217"/>
        <v>1+3.12543336555379i</v>
      </c>
      <c r="BA269" s="32">
        <f t="shared" si="243"/>
        <v>3.2815139375777291</v>
      </c>
      <c r="BB269" s="32">
        <f t="shared" si="244"/>
        <v>1.2611336317544404</v>
      </c>
      <c r="BC269" s="60" t="str">
        <f t="shared" si="245"/>
        <v>-0.637066008489816+0.325773978836149i</v>
      </c>
      <c r="BD269" s="51">
        <f t="shared" si="246"/>
        <v>-2.9074549029230523</v>
      </c>
      <c r="BE269" s="63">
        <f t="shared" si="247"/>
        <v>152.91633591140717</v>
      </c>
      <c r="BF269" s="60" t="str">
        <f t="shared" si="248"/>
        <v>0.800283099495552+1.99310564453499i</v>
      </c>
      <c r="BG269" s="66">
        <f t="shared" si="249"/>
        <v>6.6397621940862255</v>
      </c>
      <c r="BH269" s="63">
        <f t="shared" si="250"/>
        <v>68.123272395097743</v>
      </c>
      <c r="BI269" s="60" t="e">
        <f t="shared" si="255"/>
        <v>#NUM!</v>
      </c>
      <c r="BJ269" s="66" t="e">
        <f t="shared" si="251"/>
        <v>#NUM!</v>
      </c>
      <c r="BK269" s="63" t="e">
        <f t="shared" si="256"/>
        <v>#NUM!</v>
      </c>
      <c r="BL269" s="51">
        <f t="shared" si="252"/>
        <v>6.6397621940862255</v>
      </c>
      <c r="BM269" s="63">
        <f t="shared" si="253"/>
        <v>68.123272395097743</v>
      </c>
    </row>
    <row r="270" spans="14:65" x14ac:dyDescent="0.3">
      <c r="N270" s="11">
        <v>52</v>
      </c>
      <c r="O270" s="52">
        <f t="shared" si="254"/>
        <v>3311.3112148259115</v>
      </c>
      <c r="P270" s="50" t="str">
        <f t="shared" si="206"/>
        <v>23.3035714285714</v>
      </c>
      <c r="Q270" s="18" t="str">
        <f t="shared" si="207"/>
        <v>1+7.89126001956707i</v>
      </c>
      <c r="R270" s="18">
        <f t="shared" si="218"/>
        <v>7.9543689062311955</v>
      </c>
      <c r="S270" s="18">
        <f t="shared" si="219"/>
        <v>1.4447457180222611</v>
      </c>
      <c r="T270" s="18" t="str">
        <f t="shared" si="208"/>
        <v>1+0.036825880091313i</v>
      </c>
      <c r="U270" s="18">
        <f t="shared" si="220"/>
        <v>1.0006778429866925</v>
      </c>
      <c r="V270" s="18">
        <f t="shared" si="221"/>
        <v>3.6809246540550039E-2</v>
      </c>
      <c r="W270" s="32" t="str">
        <f t="shared" si="209"/>
        <v>1-0.0508580892660945i</v>
      </c>
      <c r="X270" s="18">
        <f t="shared" si="222"/>
        <v>1.0012924374246508</v>
      </c>
      <c r="Y270" s="18">
        <f t="shared" si="223"/>
        <v>-5.0814308274645309E-2</v>
      </c>
      <c r="Z270" s="32" t="str">
        <f t="shared" si="210"/>
        <v>0.999956140872154+0.0249609768319494i</v>
      </c>
      <c r="AA270" s="18">
        <f t="shared" si="224"/>
        <v>1.0002676312029377</v>
      </c>
      <c r="AB270" s="18">
        <f t="shared" si="225"/>
        <v>2.4956888920074586E-2</v>
      </c>
      <c r="AC270" s="68" t="str">
        <f>(IMDIV(IMPRODUCT(P270,T270,W270),IMPRODUCT(Q270,Z270)))</f>
        <v>0.255251463526686-2.92352448464433i</v>
      </c>
      <c r="AD270" s="66">
        <f t="shared" si="227"/>
        <v>9.3511152098463626</v>
      </c>
      <c r="AE270" s="63">
        <f t="shared" si="228"/>
        <v>-85.010187446354195</v>
      </c>
      <c r="AF270" s="51" t="e">
        <f t="shared" si="229"/>
        <v>#NUM!</v>
      </c>
      <c r="AG270" s="51" t="str">
        <f t="shared" si="211"/>
        <v>1-11.0477640273939i</v>
      </c>
      <c r="AH270" s="51">
        <f t="shared" si="230"/>
        <v>11.092929730462494</v>
      </c>
      <c r="AI270" s="51">
        <f t="shared" si="231"/>
        <v>-1.4805262691584509</v>
      </c>
      <c r="AJ270" s="51" t="str">
        <f t="shared" si="212"/>
        <v>1+0.036825880091313i</v>
      </c>
      <c r="AK270" s="51">
        <f t="shared" si="232"/>
        <v>1.0006778429866925</v>
      </c>
      <c r="AL270" s="51">
        <f t="shared" si="233"/>
        <v>3.6809246540550039E-2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-0.000170731707317073</v>
      </c>
      <c r="AT270" s="32" t="str">
        <f t="shared" si="215"/>
        <v>0.00079061211495474i</v>
      </c>
      <c r="AU270" s="32">
        <f t="shared" si="239"/>
        <v>7.9061211495473995E-4</v>
      </c>
      <c r="AV270" s="32">
        <f t="shared" si="240"/>
        <v>1.5707963267948966</v>
      </c>
      <c r="AW270" s="32" t="str">
        <f t="shared" si="216"/>
        <v>1+0.168328108463771i</v>
      </c>
      <c r="AX270" s="32">
        <f t="shared" si="241"/>
        <v>1.0140682186613439</v>
      </c>
      <c r="AY270" s="32">
        <f t="shared" si="242"/>
        <v>0.16676477855721936</v>
      </c>
      <c r="AZ270" s="32" t="str">
        <f t="shared" si="217"/>
        <v>1+3.19823406081166i</v>
      </c>
      <c r="BA270" s="32">
        <f t="shared" si="243"/>
        <v>3.3509254106493986</v>
      </c>
      <c r="BB270" s="32">
        <f t="shared" si="244"/>
        <v>1.2677542673646496</v>
      </c>
      <c r="BC270" s="60" t="str">
        <f t="shared" si="245"/>
        <v>-0.63627597148119+0.323051892576447i</v>
      </c>
      <c r="BD270" s="51">
        <f t="shared" si="246"/>
        <v>-2.9310338558561506</v>
      </c>
      <c r="BE270" s="63">
        <f t="shared" si="247"/>
        <v>153.08205099693174</v>
      </c>
      <c r="BF270" s="60" t="str">
        <f t="shared" si="248"/>
        <v>0.782039744830495+1.94262784999132i</v>
      </c>
      <c r="BG270" s="66">
        <f t="shared" si="249"/>
        <v>6.4200813539902137</v>
      </c>
      <c r="BH270" s="63">
        <f t="shared" si="250"/>
        <v>68.071863550577561</v>
      </c>
      <c r="BI270" s="60" t="e">
        <f t="shared" si="255"/>
        <v>#NUM!</v>
      </c>
      <c r="BJ270" s="66" t="e">
        <f t="shared" si="251"/>
        <v>#NUM!</v>
      </c>
      <c r="BK270" s="63" t="e">
        <f t="shared" si="256"/>
        <v>#NUM!</v>
      </c>
      <c r="BL270" s="51">
        <f t="shared" si="252"/>
        <v>6.4200813539902137</v>
      </c>
      <c r="BM270" s="63">
        <f t="shared" si="253"/>
        <v>68.071863550577561</v>
      </c>
    </row>
    <row r="271" spans="14:65" x14ac:dyDescent="0.3">
      <c r="N271" s="11">
        <v>53</v>
      </c>
      <c r="O271" s="52">
        <f t="shared" si="254"/>
        <v>3388.4415613920314</v>
      </c>
      <c r="P271" s="50" t="str">
        <f t="shared" si="206"/>
        <v>23.3035714285714</v>
      </c>
      <c r="Q271" s="18" t="str">
        <f t="shared" si="207"/>
        <v>1+8.07507107828827i</v>
      </c>
      <c r="R271" s="18">
        <f t="shared" si="218"/>
        <v>8.1367544463015271</v>
      </c>
      <c r="S271" s="18">
        <f t="shared" si="219"/>
        <v>1.4475856980225472</v>
      </c>
      <c r="T271" s="18" t="str">
        <f t="shared" si="208"/>
        <v>1+0.037683665032012i</v>
      </c>
      <c r="U271" s="18">
        <f t="shared" si="220"/>
        <v>1.0007097774131344</v>
      </c>
      <c r="V271" s="18">
        <f t="shared" si="221"/>
        <v>3.7665842543937809E-2</v>
      </c>
      <c r="W271" s="32" t="str">
        <f t="shared" si="209"/>
        <v>1-0.0520427263467836i</v>
      </c>
      <c r="X271" s="18">
        <f t="shared" si="222"/>
        <v>1.001353306962935</v>
      </c>
      <c r="Y271" s="18">
        <f t="shared" si="223"/>
        <v>-5.1995817592769562E-2</v>
      </c>
      <c r="Z271" s="32" t="str">
        <f t="shared" si="210"/>
        <v>0.99995407385514+0.0255423926726161i</v>
      </c>
      <c r="AA271" s="18">
        <f t="shared" si="224"/>
        <v>1.000280242553522</v>
      </c>
      <c r="AB271" s="18">
        <f t="shared" si="225"/>
        <v>2.5538012461916264E-2</v>
      </c>
      <c r="AC271" s="68" t="str">
        <f t="shared" si="226"/>
        <v>0.238841306909184-2.85913729333785i</v>
      </c>
      <c r="AD271" s="66">
        <f t="shared" si="227"/>
        <v>9.1549012699603711</v>
      </c>
      <c r="AE271" s="63">
        <f t="shared" si="228"/>
        <v>-85.224818402237375</v>
      </c>
      <c r="AF271" s="51" t="e">
        <f t="shared" si="229"/>
        <v>#NUM!</v>
      </c>
      <c r="AG271" s="51" t="str">
        <f t="shared" si="211"/>
        <v>1-11.3050995096036i</v>
      </c>
      <c r="AH271" s="51">
        <f t="shared" si="230"/>
        <v>11.349241160625656</v>
      </c>
      <c r="AI271" s="51">
        <f t="shared" si="231"/>
        <v>-1.4825702973824588</v>
      </c>
      <c r="AJ271" s="51" t="str">
        <f t="shared" si="212"/>
        <v>1+0.037683665032012i</v>
      </c>
      <c r="AK271" s="51">
        <f t="shared" si="232"/>
        <v>1.0007097774131344</v>
      </c>
      <c r="AL271" s="51">
        <f t="shared" si="233"/>
        <v>3.7665842543937809E-2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-0.000170731707317073</v>
      </c>
      <c r="AT271" s="32" t="str">
        <f t="shared" si="215"/>
        <v>0.000809027836845453i</v>
      </c>
      <c r="AU271" s="32">
        <f t="shared" si="239"/>
        <v>8.0902783684545299E-4</v>
      </c>
      <c r="AV271" s="32">
        <f t="shared" si="240"/>
        <v>1.5707963267948966</v>
      </c>
      <c r="AW271" s="32" t="str">
        <f t="shared" si="216"/>
        <v>1+0.172248973794852i</v>
      </c>
      <c r="AX271" s="32">
        <f t="shared" si="241"/>
        <v>1.0147264207525986</v>
      </c>
      <c r="AY271" s="32">
        <f t="shared" si="242"/>
        <v>0.17057514581394001</v>
      </c>
      <c r="AZ271" s="32" t="str">
        <f t="shared" si="217"/>
        <v>1+3.27273050210219i</v>
      </c>
      <c r="BA271" s="32">
        <f t="shared" si="243"/>
        <v>3.422099492912217</v>
      </c>
      <c r="BB271" s="32">
        <f t="shared" si="244"/>
        <v>1.2742507934866727</v>
      </c>
      <c r="BC271" s="60" t="str">
        <f t="shared" si="245"/>
        <v>-0.635450798627097+0.320488915846166i</v>
      </c>
      <c r="BD271" s="51">
        <f t="shared" si="246"/>
        <v>-2.9541123630369843</v>
      </c>
      <c r="BE271" s="63">
        <f t="shared" si="247"/>
        <v>153.23595656301521</v>
      </c>
      <c r="BF271" s="60" t="str">
        <f t="shared" si="248"/>
        <v>0.764549912176609+1.89338706794666i</v>
      </c>
      <c r="BG271" s="66">
        <f t="shared" si="249"/>
        <v>6.2007889069233926</v>
      </c>
      <c r="BH271" s="63">
        <f t="shared" si="250"/>
        <v>68.011138160777847</v>
      </c>
      <c r="BI271" s="60" t="e">
        <f t="shared" si="255"/>
        <v>#NUM!</v>
      </c>
      <c r="BJ271" s="66" t="e">
        <f t="shared" si="251"/>
        <v>#NUM!</v>
      </c>
      <c r="BK271" s="63" t="e">
        <f t="shared" si="256"/>
        <v>#NUM!</v>
      </c>
      <c r="BL271" s="51">
        <f t="shared" si="252"/>
        <v>6.2007889069233926</v>
      </c>
      <c r="BM271" s="63">
        <f t="shared" si="253"/>
        <v>68.011138160777847</v>
      </c>
    </row>
    <row r="272" spans="14:65" x14ac:dyDescent="0.3">
      <c r="N272" s="11">
        <v>54</v>
      </c>
      <c r="O272" s="52">
        <f t="shared" si="254"/>
        <v>3467.3685045253224</v>
      </c>
      <c r="P272" s="50" t="str">
        <f t="shared" si="206"/>
        <v>23.3035714285714</v>
      </c>
      <c r="Q272" s="18" t="str">
        <f t="shared" si="207"/>
        <v>1+8.26316364658138i</v>
      </c>
      <c r="R272" s="18">
        <f t="shared" si="218"/>
        <v>8.3234532166754001</v>
      </c>
      <c r="S272" s="18">
        <f t="shared" si="219"/>
        <v>1.4503629637962641</v>
      </c>
      <c r="T272" s="18" t="str">
        <f t="shared" si="208"/>
        <v>1+0.0385614303507131i</v>
      </c>
      <c r="U272" s="18">
        <f t="shared" si="220"/>
        <v>1.0007432157705056</v>
      </c>
      <c r="V272" s="18">
        <f t="shared" si="221"/>
        <v>3.8542333976585616E-2</v>
      </c>
      <c r="W272" s="32" t="str">
        <f t="shared" si="209"/>
        <v>1-0.0532549571698486i</v>
      </c>
      <c r="X272" s="18">
        <f t="shared" si="222"/>
        <v>1.0014170412286594</v>
      </c>
      <c r="Y272" s="18">
        <f t="shared" si="223"/>
        <v>-5.320469737491456E-2</v>
      </c>
      <c r="Z272" s="32" t="str">
        <f t="shared" si="210"/>
        <v>0.999951909422615+0.0261373514279713i</v>
      </c>
      <c r="AA272" s="18">
        <f t="shared" si="224"/>
        <v>1.00029344809291</v>
      </c>
      <c r="AB272" s="18">
        <f t="shared" si="225"/>
        <v>2.6132658021462724E-2</v>
      </c>
      <c r="AC272" s="68" t="str">
        <f t="shared" si="226"/>
        <v>0.223147585351194-2.7960857497783i</v>
      </c>
      <c r="AD272" s="66">
        <f t="shared" si="227"/>
        <v>8.958582996174</v>
      </c>
      <c r="AE272" s="63">
        <f t="shared" si="228"/>
        <v>-85.437059140111216</v>
      </c>
      <c r="AF272" s="51" t="e">
        <f t="shared" si="229"/>
        <v>#NUM!</v>
      </c>
      <c r="AG272" s="51" t="str">
        <f t="shared" si="211"/>
        <v>1-11.568429105214i</v>
      </c>
      <c r="AH272" s="51">
        <f t="shared" si="230"/>
        <v>11.611569745833782</v>
      </c>
      <c r="AI272" s="51">
        <f t="shared" si="231"/>
        <v>-1.4845685123219385</v>
      </c>
      <c r="AJ272" s="51" t="str">
        <f t="shared" si="212"/>
        <v>1+0.0385614303507131i</v>
      </c>
      <c r="AK272" s="51">
        <f t="shared" si="232"/>
        <v>1.0007432157705056</v>
      </c>
      <c r="AL272" s="51">
        <f t="shared" si="233"/>
        <v>3.8542333976585616E-2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-0.000170731707317073</v>
      </c>
      <c r="AT272" s="32" t="str">
        <f t="shared" si="215"/>
        <v>0.000827872516004009i</v>
      </c>
      <c r="AU272" s="32">
        <f t="shared" si="239"/>
        <v>8.2787251600400895E-4</v>
      </c>
      <c r="AV272" s="32">
        <f t="shared" si="240"/>
        <v>1.5707963267948966</v>
      </c>
      <c r="AW272" s="32" t="str">
        <f t="shared" si="216"/>
        <v>1+0.176261167811823i</v>
      </c>
      <c r="AX272" s="32">
        <f t="shared" si="241"/>
        <v>1.0154151856646558</v>
      </c>
      <c r="AY272" s="32">
        <f t="shared" si="242"/>
        <v>0.17446909608615965</v>
      </c>
      <c r="AZ272" s="32" t="str">
        <f t="shared" si="217"/>
        <v>1+3.34896218842465i</v>
      </c>
      <c r="BA272" s="32">
        <f t="shared" si="243"/>
        <v>3.4950747831052231</v>
      </c>
      <c r="BB272" s="32">
        <f t="shared" si="244"/>
        <v>1.2806244603883266</v>
      </c>
      <c r="BC272" s="60" t="str">
        <f t="shared" si="245"/>
        <v>-0.634589027442607+0.318082869571559i</v>
      </c>
      <c r="BD272" s="51">
        <f t="shared" si="246"/>
        <v>-2.9767292614543628</v>
      </c>
      <c r="BE272" s="63">
        <f t="shared" si="247"/>
        <v>153.37803386027019</v>
      </c>
      <c r="BF272" s="60" t="str">
        <f t="shared" si="248"/>
        <v>0.747779969693446+1.84534476088442i</v>
      </c>
      <c r="BG272" s="66">
        <f t="shared" si="249"/>
        <v>5.9818537347196532</v>
      </c>
      <c r="BH272" s="63">
        <f t="shared" si="250"/>
        <v>67.940974720159005</v>
      </c>
      <c r="BI272" s="60" t="e">
        <f t="shared" si="255"/>
        <v>#NUM!</v>
      </c>
      <c r="BJ272" s="66" t="e">
        <f t="shared" si="251"/>
        <v>#NUM!</v>
      </c>
      <c r="BK272" s="63" t="e">
        <f t="shared" si="256"/>
        <v>#NUM!</v>
      </c>
      <c r="BL272" s="51">
        <f t="shared" si="252"/>
        <v>5.9818537347196532</v>
      </c>
      <c r="BM272" s="63">
        <f t="shared" si="253"/>
        <v>67.940974720159005</v>
      </c>
    </row>
    <row r="273" spans="14:65" x14ac:dyDescent="0.3">
      <c r="N273" s="11">
        <v>55</v>
      </c>
      <c r="O273" s="52">
        <f t="shared" si="254"/>
        <v>3548.1338923357539</v>
      </c>
      <c r="P273" s="50" t="str">
        <f t="shared" si="206"/>
        <v>23.3035714285714</v>
      </c>
      <c r="Q273" s="18" t="str">
        <f t="shared" si="207"/>
        <v>1+8.45563745361577i</v>
      </c>
      <c r="R273" s="18">
        <f t="shared" si="218"/>
        <v>8.5145642722919064</v>
      </c>
      <c r="S273" s="18">
        <f t="shared" si="219"/>
        <v>1.4530788164216806</v>
      </c>
      <c r="T273" s="18" t="str">
        <f t="shared" si="208"/>
        <v>1+0.0394596414502069i</v>
      </c>
      <c r="U273" s="18">
        <f t="shared" si="220"/>
        <v>1.0007782288316323</v>
      </c>
      <c r="V273" s="18">
        <f t="shared" si="221"/>
        <v>3.9439180175952E-2</v>
      </c>
      <c r="W273" s="32" t="str">
        <f t="shared" si="209"/>
        <v>1-0.0544954244761175i</v>
      </c>
      <c r="X273" s="18">
        <f t="shared" si="222"/>
        <v>1.0014837748505125</v>
      </c>
      <c r="Y273" s="18">
        <f t="shared" si="223"/>
        <v>-5.4441574443964101E-2</v>
      </c>
      <c r="Z273" s="32" t="str">
        <f t="shared" si="210"/>
        <v>0.999949642983528+0.0267461685530223i</v>
      </c>
      <c r="AA273" s="18">
        <f t="shared" si="224"/>
        <v>1.0003072758083644</v>
      </c>
      <c r="AB273" s="18">
        <f t="shared" si="225"/>
        <v>2.6741139560162226E-2</v>
      </c>
      <c r="AC273" s="68" t="str">
        <f t="shared" si="226"/>
        <v>0.208139917905618-2.7343481128159i</v>
      </c>
      <c r="AD273" s="66">
        <f t="shared" si="227"/>
        <v>8.7621679109267276</v>
      </c>
      <c r="AE273" s="63">
        <f t="shared" si="228"/>
        <v>-85.647011791143214</v>
      </c>
      <c r="AF273" s="51" t="e">
        <f t="shared" si="229"/>
        <v>#NUM!</v>
      </c>
      <c r="AG273" s="51" t="str">
        <f t="shared" si="211"/>
        <v>1-11.8378924350621i</v>
      </c>
      <c r="AH273" s="51">
        <f t="shared" si="230"/>
        <v>11.880054600215461</v>
      </c>
      <c r="AI273" s="51">
        <f t="shared" si="231"/>
        <v>-1.4865219095927176</v>
      </c>
      <c r="AJ273" s="51" t="str">
        <f t="shared" si="212"/>
        <v>1+0.0394596414502069i</v>
      </c>
      <c r="AK273" s="51">
        <f t="shared" si="232"/>
        <v>1.0007782288316323</v>
      </c>
      <c r="AL273" s="51">
        <f t="shared" si="233"/>
        <v>3.9439180175952E-2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-0.000170731707317073</v>
      </c>
      <c r="AT273" s="32" t="str">
        <f t="shared" si="215"/>
        <v>0.000847156144128737i</v>
      </c>
      <c r="AU273" s="32">
        <f t="shared" si="239"/>
        <v>8.47156144128737E-4</v>
      </c>
      <c r="AV273" s="32">
        <f t="shared" si="240"/>
        <v>1.5707963267948966</v>
      </c>
      <c r="AW273" s="32" t="str">
        <f t="shared" si="216"/>
        <v>1+0.18036681783306i</v>
      </c>
      <c r="AX273" s="32">
        <f t="shared" si="241"/>
        <v>1.0161359106808616</v>
      </c>
      <c r="AY273" s="32">
        <f t="shared" si="242"/>
        <v>0.1784482214153012</v>
      </c>
      <c r="AZ273" s="32" t="str">
        <f t="shared" si="217"/>
        <v>1+3.42696953882814i</v>
      </c>
      <c r="BA273" s="32">
        <f t="shared" si="243"/>
        <v>3.5698907854521202</v>
      </c>
      <c r="BB273" s="32">
        <f t="shared" si="244"/>
        <v>1.2868765753313129</v>
      </c>
      <c r="BC273" s="60" t="str">
        <f t="shared" si="245"/>
        <v>-0.633689143908098+0.315831605117356i</v>
      </c>
      <c r="BD273" s="51">
        <f t="shared" si="246"/>
        <v>-2.9989230326521215</v>
      </c>
      <c r="BE273" s="63">
        <f t="shared" si="247"/>
        <v>153.50826657202074</v>
      </c>
      <c r="BF273" s="60" t="str">
        <f t="shared" si="248"/>
        <v>0.731697547029546+1.79846387911816i</v>
      </c>
      <c r="BG273" s="66">
        <f t="shared" si="249"/>
        <v>5.7632448782746204</v>
      </c>
      <c r="BH273" s="63">
        <f t="shared" si="250"/>
        <v>67.861254780877559</v>
      </c>
      <c r="BI273" s="60" t="e">
        <f t="shared" si="255"/>
        <v>#NUM!</v>
      </c>
      <c r="BJ273" s="66" t="e">
        <f t="shared" si="251"/>
        <v>#NUM!</v>
      </c>
      <c r="BK273" s="63" t="e">
        <f t="shared" si="256"/>
        <v>#NUM!</v>
      </c>
      <c r="BL273" s="51">
        <f t="shared" si="252"/>
        <v>5.7632448782746204</v>
      </c>
      <c r="BM273" s="63">
        <f t="shared" si="253"/>
        <v>67.861254780877559</v>
      </c>
    </row>
    <row r="274" spans="14:65" x14ac:dyDescent="0.3">
      <c r="N274" s="11">
        <v>56</v>
      </c>
      <c r="O274" s="52">
        <f t="shared" si="254"/>
        <v>3630.7805477010188</v>
      </c>
      <c r="P274" s="50" t="str">
        <f t="shared" si="206"/>
        <v>23.3035714285714</v>
      </c>
      <c r="Q274" s="18" t="str">
        <f t="shared" si="207"/>
        <v>1+8.65259455155173i</v>
      </c>
      <c r="R274" s="18">
        <f t="shared" si="218"/>
        <v>8.7101890033191971</v>
      </c>
      <c r="S274" s="18">
        <f t="shared" si="219"/>
        <v>1.4557345355397662</v>
      </c>
      <c r="T274" s="18" t="str">
        <f t="shared" si="208"/>
        <v>1+0.0403787745739081i</v>
      </c>
      <c r="U274" s="18">
        <f t="shared" si="220"/>
        <v>1.000814890694623</v>
      </c>
      <c r="V274" s="18">
        <f t="shared" si="221"/>
        <v>4.0356850887566645E-2</v>
      </c>
      <c r="W274" s="32" t="str">
        <f t="shared" si="209"/>
        <v>1-0.0557647859777763i</v>
      </c>
      <c r="X274" s="18">
        <f t="shared" si="222"/>
        <v>1.0015536487653307</v>
      </c>
      <c r="Y274" s="18">
        <f t="shared" si="223"/>
        <v>-5.5707089461893587E-2</v>
      </c>
      <c r="Z274" s="32" t="str">
        <f t="shared" si="210"/>
        <v>0.999947269730458+0.0273691668506677i</v>
      </c>
      <c r="AA274" s="18">
        <f t="shared" si="224"/>
        <v>1.0003217550046071</v>
      </c>
      <c r="AB274" s="18">
        <f t="shared" si="225"/>
        <v>2.7363778280655397E-2</v>
      </c>
      <c r="AC274" s="68" t="str">
        <f t="shared" si="226"/>
        <v>0.19378913008051-2.67390259421888i</v>
      </c>
      <c r="AD274" s="66">
        <f t="shared" si="227"/>
        <v>8.5656633539095051</v>
      </c>
      <c r="AE274" s="63">
        <f t="shared" si="228"/>
        <v>-85.854777869706908</v>
      </c>
      <c r="AF274" s="51" t="e">
        <f t="shared" si="229"/>
        <v>#NUM!</v>
      </c>
      <c r="AG274" s="51" t="str">
        <f t="shared" si="211"/>
        <v>1-12.1136323721724i</v>
      </c>
      <c r="AH274" s="51">
        <f t="shared" si="230"/>
        <v>12.154838100449677</v>
      </c>
      <c r="AI274" s="51">
        <f t="shared" si="231"/>
        <v>-1.4884314652491932</v>
      </c>
      <c r="AJ274" s="51" t="str">
        <f t="shared" si="212"/>
        <v>1+0.0403787745739081i</v>
      </c>
      <c r="AK274" s="51">
        <f t="shared" si="232"/>
        <v>1.000814890694623</v>
      </c>
      <c r="AL274" s="51">
        <f t="shared" si="233"/>
        <v>4.0356850887566645E-2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-0.000170731707317073</v>
      </c>
      <c r="AT274" s="32" t="str">
        <f t="shared" si="215"/>
        <v>0.000866888945654523i</v>
      </c>
      <c r="AU274" s="32">
        <f t="shared" si="239"/>
        <v>8.6688894565452302E-4</v>
      </c>
      <c r="AV274" s="32">
        <f t="shared" si="240"/>
        <v>1.5707963267948966</v>
      </c>
      <c r="AW274" s="32" t="str">
        <f t="shared" si="216"/>
        <v>1+0.18456810072855i</v>
      </c>
      <c r="AX274" s="32">
        <f t="shared" si="241"/>
        <v>1.0168900549255775</v>
      </c>
      <c r="AY274" s="32">
        <f t="shared" si="242"/>
        <v>0.1825141273107716</v>
      </c>
      <c r="AZ274" s="32" t="str">
        <f t="shared" si="217"/>
        <v>1+3.50679391384246i</v>
      </c>
      <c r="BA274" s="32">
        <f t="shared" si="243"/>
        <v>3.6465879331455202</v>
      </c>
      <c r="BB274" s="32">
        <f t="shared" si="244"/>
        <v>1.2930084974204832</v>
      </c>
      <c r="BC274" s="60" t="str">
        <f t="shared" si="245"/>
        <v>-0.632749581540653+0.313733000041726i</v>
      </c>
      <c r="BD274" s="51">
        <f t="shared" si="246"/>
        <v>-3.0207318232114817</v>
      </c>
      <c r="BE274" s="63">
        <f t="shared" si="247"/>
        <v>153.62664058032533</v>
      </c>
      <c r="BF274" s="60" t="str">
        <f t="shared" si="248"/>
        <v>0.716271491738073+1.7527087927281i</v>
      </c>
      <c r="BG274" s="66">
        <f t="shared" si="249"/>
        <v>5.5449315306980331</v>
      </c>
      <c r="BH274" s="63">
        <f t="shared" si="250"/>
        <v>67.771862710618478</v>
      </c>
      <c r="BI274" s="60" t="e">
        <f t="shared" si="255"/>
        <v>#NUM!</v>
      </c>
      <c r="BJ274" s="66" t="e">
        <f t="shared" si="251"/>
        <v>#NUM!</v>
      </c>
      <c r="BK274" s="63" t="e">
        <f t="shared" si="256"/>
        <v>#NUM!</v>
      </c>
      <c r="BL274" s="51">
        <f t="shared" si="252"/>
        <v>5.5449315306980331</v>
      </c>
      <c r="BM274" s="63">
        <f t="shared" si="253"/>
        <v>67.771862710618478</v>
      </c>
    </row>
    <row r="275" spans="14:65" x14ac:dyDescent="0.3">
      <c r="N275" s="11">
        <v>57</v>
      </c>
      <c r="O275" s="52">
        <f t="shared" si="254"/>
        <v>3715.352290971724</v>
      </c>
      <c r="P275" s="50" t="str">
        <f t="shared" ref="P275:P338" si="257">COMPLEX(Adc,0)</f>
        <v>23.3035714285714</v>
      </c>
      <c r="Q275" s="18" t="str">
        <f t="shared" ref="Q275:Q338" si="258">IMSUM(COMPLEX(1,0),IMDIV(COMPLEX(0,2*PI()*O275),COMPLEX(wp_lf,0)))</f>
        <v>1+8.85413936964951i</v>
      </c>
      <c r="R275" s="18">
        <f t="shared" si="218"/>
        <v>8.9104311891836865</v>
      </c>
      <c r="S275" s="18">
        <f t="shared" si="219"/>
        <v>1.4583313793241701</v>
      </c>
      <c r="T275" s="18" t="str">
        <f t="shared" ref="T275:T338" si="259">IMSUM(COMPLEX(1,0),IMDIV(COMPLEX(0,2*PI()*O275),COMPLEX(wz_esr,0)))</f>
        <v>1+0.0413193170583644i</v>
      </c>
      <c r="U275" s="18">
        <f t="shared" si="220"/>
        <v>1.0008532789386113</v>
      </c>
      <c r="V275" s="18">
        <f t="shared" si="221"/>
        <v>4.1295826486753839E-2</v>
      </c>
      <c r="W275" s="32" t="str">
        <f t="shared" ref="W275:W338" si="260">IMSUB(COMPLEX(1,0),IMDIV(COMPLEX(0,2*PI()*O275),COMPLEX(wz_rhp,0)))</f>
        <v>1-0.0570637147070946i</v>
      </c>
      <c r="X275" s="18">
        <f t="shared" si="222"/>
        <v>1.0016268105118655</v>
      </c>
      <c r="Y275" s="18">
        <f t="shared" si="223"/>
        <v>-5.7001897198266441E-2</v>
      </c>
      <c r="Z275" s="32" t="str">
        <f t="shared" ref="Z275:Z338" si="261">IMSUM(COMPLEX(1,0),IMDIV(COMPLEX(0,2*PI()*O275),COMPLEX(Q*(wsl/2),0)),IMDIV(IMPOWER(COMPLEX(0,2*PI()*O275),2),IMPOWER(COMPLEX(wsl/2,0),2)))</f>
        <v>0.999944784629416+0.028006676642851i</v>
      </c>
      <c r="AA275" s="18">
        <f t="shared" si="224"/>
        <v>1.0003369163657543</v>
      </c>
      <c r="AB275" s="18">
        <f t="shared" si="225"/>
        <v>2.8000902790312331E-2</v>
      </c>
      <c r="AC275" s="68" t="str">
        <f t="shared" si="226"/>
        <v>0.180067212952406-2.61472739289815i</v>
      </c>
      <c r="AD275" s="66">
        <f t="shared" si="227"/>
        <v>8.3690764954892938</v>
      </c>
      <c r="AE275" s="63">
        <f t="shared" si="228"/>
        <v>-86.060458283711554</v>
      </c>
      <c r="AF275" s="51" t="e">
        <f t="shared" si="229"/>
        <v>#NUM!</v>
      </c>
      <c r="AG275" s="51" t="str">
        <f t="shared" ref="AG275:AG338" si="262">IMSUM(COMPLEX(1,0),IMDIV(COMPLEX(0,2*PI()*O275),COMPLEX(wp_lf_DCM,0)))</f>
        <v>1-12.3957951175093i</v>
      </c>
      <c r="AH275" s="51">
        <f t="shared" si="230"/>
        <v>12.436065961358816</v>
      </c>
      <c r="AI275" s="51">
        <f t="shared" si="231"/>
        <v>-1.4902981360279908</v>
      </c>
      <c r="AJ275" s="51" t="str">
        <f t="shared" ref="AJ275:AJ338" si="263">IMSUM(COMPLEX(1,0),IMDIV(COMPLEX(0,2*PI()*O275),COMPLEX(wz1_dcm,0)))</f>
        <v>1+0.0413193170583644i</v>
      </c>
      <c r="AK275" s="51">
        <f t="shared" si="232"/>
        <v>1.0008532789386113</v>
      </c>
      <c r="AL275" s="51">
        <f t="shared" si="233"/>
        <v>4.1295826486753839E-2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-0.000170731707317073</v>
      </c>
      <c r="AT275" s="32" t="str">
        <f t="shared" ref="AT275:AT338" si="266">COMPLEX(0,2*PI()*O275*wp0_ea)</f>
        <v>0.000887081383173923i</v>
      </c>
      <c r="AU275" s="32">
        <f t="shared" si="239"/>
        <v>8.87081383173923E-4</v>
      </c>
      <c r="AV275" s="32">
        <f t="shared" si="240"/>
        <v>1.5707963267948966</v>
      </c>
      <c r="AW275" s="32" t="str">
        <f t="shared" ref="AW275:AW338" si="267">IMSUM(COMPLEX(1,0),IMDIV(COMPLEX(0,2*PI()*O275),COMPLEX(wp1_ea,0)))</f>
        <v>1+0.188867244074094i</v>
      </c>
      <c r="AX275" s="32">
        <f t="shared" si="241"/>
        <v>1.0176791419126872</v>
      </c>
      <c r="AY275" s="32">
        <f t="shared" si="242"/>
        <v>0.18666843157811583</v>
      </c>
      <c r="AZ275" s="32" t="str">
        <f t="shared" ref="AZ275:AZ338" si="268">IMSUM(COMPLEX(1,0),IMDIV(COMPLEX(0,2*PI()*O275),COMPLEX(wz_ea,0)))</f>
        <v>1+3.58847763740778i</v>
      </c>
      <c r="BA275" s="32">
        <f t="shared" si="243"/>
        <v>3.7252076122245481</v>
      </c>
      <c r="BB275" s="32">
        <f t="shared" si="244"/>
        <v>1.2990216326642936</v>
      </c>
      <c r="BC275" s="60" t="str">
        <f t="shared" si="245"/>
        <v>-0.631768720542073+0.311784953716216i</v>
      </c>
      <c r="BD275" s="51">
        <f t="shared" si="246"/>
        <v>-3.0421934673047475</v>
      </c>
      <c r="BE275" s="63">
        <f t="shared" si="247"/>
        <v>153.733143750105</v>
      </c>
      <c r="BF275" s="60" t="str">
        <f t="shared" si="248"/>
        <v>0.701471826436753+1.70804522723375i</v>
      </c>
      <c r="BG275" s="66">
        <f t="shared" si="249"/>
        <v>5.3268830281845556</v>
      </c>
      <c r="BH275" s="63">
        <f t="shared" si="250"/>
        <v>67.672685466393474</v>
      </c>
      <c r="BI275" s="60" t="e">
        <f t="shared" si="255"/>
        <v>#NUM!</v>
      </c>
      <c r="BJ275" s="66" t="e">
        <f t="shared" si="251"/>
        <v>#NUM!</v>
      </c>
      <c r="BK275" s="63" t="e">
        <f t="shared" si="256"/>
        <v>#NUM!</v>
      </c>
      <c r="BL275" s="51">
        <f t="shared" si="252"/>
        <v>5.3268830281845556</v>
      </c>
      <c r="BM275" s="63">
        <f t="shared" si="253"/>
        <v>67.672685466393474</v>
      </c>
    </row>
    <row r="276" spans="14:65" x14ac:dyDescent="0.3">
      <c r="N276" s="11">
        <v>58</v>
      </c>
      <c r="O276" s="52">
        <f t="shared" si="254"/>
        <v>3801.8939632056172</v>
      </c>
      <c r="P276" s="50" t="str">
        <f t="shared" si="257"/>
        <v>23.3035714285714</v>
      </c>
      <c r="Q276" s="18" t="str">
        <f t="shared" si="258"/>
        <v>1+9.06037876963948i</v>
      </c>
      <c r="R276" s="18">
        <f t="shared" ref="R276:R339" si="269">IMABS(Q276)</f>
        <v>9.1153970538498097</v>
      </c>
      <c r="S276" s="18">
        <f t="shared" ref="S276:S339" si="270">IMARGUMENT(Q276)</f>
        <v>1.4608705844835261</v>
      </c>
      <c r="T276" s="18" t="str">
        <f t="shared" si="259"/>
        <v>1+0.0422817675916509i</v>
      </c>
      <c r="U276" s="18">
        <f t="shared" ref="U276:U339" si="271">IMABS(T276)</f>
        <v>1.00089347478674</v>
      </c>
      <c r="V276" s="18">
        <f t="shared" ref="V276:V339" si="272">IMARGUMENT(T276)</f>
        <v>4.2256598204057888E-2</v>
      </c>
      <c r="W276" s="32" t="str">
        <f t="shared" si="260"/>
        <v>1-0.0583928993732781i</v>
      </c>
      <c r="X276" s="18">
        <f t="shared" ref="X276:X339" si="273">IMABS(W276)</f>
        <v>1.0017034145380648</v>
      </c>
      <c r="Y276" s="18">
        <f t="shared" ref="Y276:Y339" si="274">IMARGUMENT(W276)</f>
        <v>-5.8326666801210306E-2</v>
      </c>
      <c r="Z276" s="32" t="str">
        <f t="shared" si="261"/>
        <v>0.99994218240917+0.0286590359457025i</v>
      </c>
      <c r="AA276" s="18">
        <f t="shared" ref="AA276:AA339" si="275">IMABS(Z276)</f>
        <v>1.0003527920201705</v>
      </c>
      <c r="AB276" s="18">
        <f t="shared" ref="AB276:AB339" si="276">IMARGUMENT(Z276)</f>
        <v>2.865284926821501E-2</v>
      </c>
      <c r="AC276" s="68" t="str">
        <f t="shared" ref="AC276:AC339" si="277">(IMDIV(IMPRODUCT(P276,T276,W276),IMPRODUCT(Q276,Z276)))</f>
        <v>0.166947283016328-2.55680072647142i</v>
      </c>
      <c r="AD276" s="66">
        <f t="shared" ref="AD276:AD339" si="278">20*LOG(IMABS(AC276))</f>
        <v>8.1724143499352166</v>
      </c>
      <c r="AE276" s="63">
        <f t="shared" ref="AE276:AE339" si="279">(180/PI())*IMARGUMENT(AC276)</f>
        <v>-86.264153346911613</v>
      </c>
      <c r="AF276" s="51" t="e">
        <f t="shared" ref="AF276:AF339" si="280">COMPLEX($B$68,0)</f>
        <v>#NUM!</v>
      </c>
      <c r="AG276" s="51" t="str">
        <f t="shared" si="262"/>
        <v>1-12.6845302774953i</v>
      </c>
      <c r="AH276" s="51">
        <f t="shared" ref="AH276:AH339" si="281">IMABS(AG276)</f>
        <v>12.723887313266138</v>
      </c>
      <c r="AI276" s="51">
        <f t="shared" ref="AI276:AI339" si="282">IMARGUMENT(AG276)</f>
        <v>-1.4921228595989653</v>
      </c>
      <c r="AJ276" s="51" t="str">
        <f t="shared" si="263"/>
        <v>1+0.0422817675916509i</v>
      </c>
      <c r="AK276" s="51">
        <f t="shared" ref="AK276:AK339" si="283">IMABS(AJ276)</f>
        <v>1.00089347478674</v>
      </c>
      <c r="AL276" s="51">
        <f t="shared" ref="AL276:AL339" si="284">IMARGUMENT(AJ276)</f>
        <v>4.2256598204057888E-2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-0.000170731707317073</v>
      </c>
      <c r="AT276" s="32" t="str">
        <f t="shared" si="266"/>
        <v>0.000907744162984595i</v>
      </c>
      <c r="AU276" s="32">
        <f t="shared" ref="AU276:AU339" si="290">IMABS(AT276)</f>
        <v>9.0774416298459505E-4</v>
      </c>
      <c r="AV276" s="32">
        <f t="shared" ref="AV276:AV339" si="291">IMARGUMENT(AT276)</f>
        <v>1.5707963267948966</v>
      </c>
      <c r="AW276" s="32" t="str">
        <f t="shared" si="267"/>
        <v>1+0.193266527332399i</v>
      </c>
      <c r="AX276" s="32">
        <f t="shared" ref="AX276:AX339" si="292">IMABS(AW276)</f>
        <v>1.0185047621818588</v>
      </c>
      <c r="AY276" s="32">
        <f t="shared" ref="AY276:AY339" si="293">IMARGUMENT(AW276)</f>
        <v>0.19091276303649224</v>
      </c>
      <c r="AZ276" s="32" t="str">
        <f t="shared" si="268"/>
        <v>1+3.67206401931558i</v>
      </c>
      <c r="BA276" s="32">
        <f t="shared" ref="BA276:BA339" si="294">IMABS(AZ276)</f>
        <v>3.8057921858598762</v>
      </c>
      <c r="BB276" s="32">
        <f t="shared" ref="BB276:BB339" si="295">IMARGUMENT(AZ276)</f>
        <v>1.3049174292483496</v>
      </c>
      <c r="BC276" s="60" t="str">
        <f t="shared" ref="BC276:BC339" si="296">IMPRODUCT(AS276,IMDIV(AZ276,IMPRODUCT(AT276,AW276)))</f>
        <v>-0.630744887035628+0.309985382805357i</v>
      </c>
      <c r="BD276" s="51">
        <f t="shared" ref="BD276:BD339" si="297">20*LOG(IMABS(BC276))</f>
        <v>-3.0633455111205263</v>
      </c>
      <c r="BE276" s="63">
        <f t="shared" ref="BE276:BE339" si="298">(180/PI())*IMARGUMENT(BC276)</f>
        <v>153.82776573181943</v>
      </c>
      <c r="BF276" s="60" t="str">
        <f t="shared" ref="BF276:BF339" si="299">IMPRODUCT(AC276,BC276)</f>
        <v>0.687269706785219+1.66444020282496i</v>
      </c>
      <c r="BG276" s="66">
        <f t="shared" ref="BG276:BG339" si="300">20*LOG(IMABS(BF276))</f>
        <v>5.1090688388146974</v>
      </c>
      <c r="BH276" s="63">
        <f t="shared" ref="BH276:BH339" si="301">(180/PI())*IMARGUMENT(BF276)</f>
        <v>67.563612384907842</v>
      </c>
      <c r="BI276" s="60" t="e">
        <f t="shared" si="255"/>
        <v>#NUM!</v>
      </c>
      <c r="BJ276" s="66" t="e">
        <f t="shared" ref="BJ276:BJ339" si="302">20*LOG(IMABS(BI276))</f>
        <v>#NUM!</v>
      </c>
      <c r="BK276" s="63" t="e">
        <f t="shared" si="256"/>
        <v>#NUM!</v>
      </c>
      <c r="BL276" s="51">
        <f t="shared" ref="BL276:BL339" si="303">IF($B$31=0,BJ276,BG276)</f>
        <v>5.1090688388146974</v>
      </c>
      <c r="BM276" s="63">
        <f t="shared" ref="BM276:BM339" si="304">IF($B$31=0,BK276,BH276)</f>
        <v>67.563612384907842</v>
      </c>
    </row>
    <row r="277" spans="14:65" x14ac:dyDescent="0.3">
      <c r="N277" s="11">
        <v>59</v>
      </c>
      <c r="O277" s="52">
        <f t="shared" si="254"/>
        <v>3890.451449942811</v>
      </c>
      <c r="P277" s="50" t="str">
        <f t="shared" si="257"/>
        <v>23.3035714285714</v>
      </c>
      <c r="Q277" s="18" t="str">
        <f t="shared" si="258"/>
        <v>1+9.2714221023814i</v>
      </c>
      <c r="R277" s="18">
        <f t="shared" si="269"/>
        <v>9.3251953223793844</v>
      </c>
      <c r="S277" s="18">
        <f t="shared" si="270"/>
        <v>1.463353366293523</v>
      </c>
      <c r="T277" s="18" t="str">
        <f t="shared" si="259"/>
        <v>1+0.0432666364777799i</v>
      </c>
      <c r="U277" s="18">
        <f t="shared" si="271"/>
        <v>1.0009355632767278</v>
      </c>
      <c r="V277" s="18">
        <f t="shared" si="272"/>
        <v>4.3239668354346436E-2</v>
      </c>
      <c r="W277" s="32" t="str">
        <f t="shared" si="260"/>
        <v>1-0.0597530447276307i</v>
      </c>
      <c r="X277" s="18">
        <f t="shared" si="273"/>
        <v>1.0017836225224599</v>
      </c>
      <c r="Y277" s="18">
        <f t="shared" si="274"/>
        <v>-5.9682082070662848E-2</v>
      </c>
      <c r="Z277" s="32" t="str">
        <f t="shared" si="261"/>
        <v>0.999939457550063+0.0293265906487596i</v>
      </c>
      <c r="AA277" s="18">
        <f t="shared" si="275"/>
        <v>1.0003694156083514</v>
      </c>
      <c r="AB277" s="18">
        <f t="shared" si="276"/>
        <v>2.9319961635636594E-2</v>
      </c>
      <c r="AC277" s="68" t="str">
        <f t="shared" si="277"/>
        <v>0.154403542826244-2.50010086031971i</v>
      </c>
      <c r="AD277" s="66">
        <f t="shared" si="278"/>
        <v>7.9756837884601914</v>
      </c>
      <c r="AE277" s="63">
        <f t="shared" si="279"/>
        <v>-86.465962793040902</v>
      </c>
      <c r="AF277" s="51" t="e">
        <f t="shared" si="280"/>
        <v>#NUM!</v>
      </c>
      <c r="AG277" s="51" t="str">
        <f t="shared" si="262"/>
        <v>1-12.979990943334i</v>
      </c>
      <c r="AH277" s="51">
        <f t="shared" si="281"/>
        <v>13.01845478115712</v>
      </c>
      <c r="AI277" s="51">
        <f t="shared" si="282"/>
        <v>-1.4939065548225605</v>
      </c>
      <c r="AJ277" s="51" t="str">
        <f t="shared" si="263"/>
        <v>1+0.0432666364777799i</v>
      </c>
      <c r="AK277" s="51">
        <f t="shared" si="283"/>
        <v>1.0009355632767278</v>
      </c>
      <c r="AL277" s="51">
        <f t="shared" si="284"/>
        <v>4.3239668354346436E-2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-0.000170731707317073</v>
      </c>
      <c r="AT277" s="32" t="str">
        <f t="shared" si="266"/>
        <v>0.000928888240765895i</v>
      </c>
      <c r="AU277" s="32">
        <f t="shared" si="290"/>
        <v>9.2888824076589496E-4</v>
      </c>
      <c r="AV277" s="32">
        <f t="shared" si="291"/>
        <v>1.5707963267948966</v>
      </c>
      <c r="AW277" s="32" t="str">
        <f t="shared" si="267"/>
        <v>1+0.19776828306168i</v>
      </c>
      <c r="AX277" s="32">
        <f t="shared" si="292"/>
        <v>1.0193685760239841</v>
      </c>
      <c r="AY277" s="32">
        <f t="shared" si="293"/>
        <v>0.19524876011939152</v>
      </c>
      <c r="AZ277" s="32" t="str">
        <f t="shared" si="268"/>
        <v>1+3.75759737817194i</v>
      </c>
      <c r="BA277" s="32">
        <f t="shared" si="294"/>
        <v>3.8883850190592799</v>
      </c>
      <c r="BB277" s="32">
        <f t="shared" si="295"/>
        <v>1.3106973730224956</v>
      </c>
      <c r="BC277" s="60" t="str">
        <f t="shared" si="296"/>
        <v>-0.629676352404452+0.308332216600955i</v>
      </c>
      <c r="BD277" s="51">
        <f t="shared" si="297"/>
        <v>-3.0842252389672731</v>
      </c>
      <c r="BE277" s="63">
        <f t="shared" si="298"/>
        <v>153.91049778306976</v>
      </c>
      <c r="BF277" s="60" t="str">
        <f t="shared" si="299"/>
        <v>0.673637380343177+1.62186197698i</v>
      </c>
      <c r="BG277" s="66">
        <f t="shared" si="300"/>
        <v>4.8914585494929046</v>
      </c>
      <c r="BH277" s="63">
        <f t="shared" si="301"/>
        <v>67.444534990028799</v>
      </c>
      <c r="BI277" s="60" t="e">
        <f t="shared" si="255"/>
        <v>#NUM!</v>
      </c>
      <c r="BJ277" s="66" t="e">
        <f t="shared" si="302"/>
        <v>#NUM!</v>
      </c>
      <c r="BK277" s="63" t="e">
        <f t="shared" si="256"/>
        <v>#NUM!</v>
      </c>
      <c r="BL277" s="51">
        <f t="shared" si="303"/>
        <v>4.8914585494929046</v>
      </c>
      <c r="BM277" s="63">
        <f t="shared" si="304"/>
        <v>67.444534990028799</v>
      </c>
    </row>
    <row r="278" spans="14:65" x14ac:dyDescent="0.3">
      <c r="N278" s="11">
        <v>60</v>
      </c>
      <c r="O278" s="52">
        <f t="shared" si="254"/>
        <v>3981.0717055349769</v>
      </c>
      <c r="P278" s="50" t="str">
        <f t="shared" si="257"/>
        <v>23.3035714285714</v>
      </c>
      <c r="Q278" s="18" t="str">
        <f t="shared" si="258"/>
        <v>1+9.48738126584376i</v>
      </c>
      <c r="R278" s="18">
        <f t="shared" si="269"/>
        <v>9.5399372788023697</v>
      </c>
      <c r="S278" s="18">
        <f t="shared" si="270"/>
        <v>1.4657809186563582</v>
      </c>
      <c r="T278" s="18" t="str">
        <f t="shared" si="259"/>
        <v>1+0.0442744459072709i</v>
      </c>
      <c r="U278" s="18">
        <f t="shared" si="271"/>
        <v>1.0009796334393601</v>
      </c>
      <c r="V278" s="18">
        <f t="shared" si="272"/>
        <v>4.4245550569572009E-2</v>
      </c>
      <c r="W278" s="32" t="str">
        <f t="shared" si="260"/>
        <v>1-0.0611448719372228i</v>
      </c>
      <c r="X278" s="18">
        <f t="shared" si="273"/>
        <v>1.0018676037103003</v>
      </c>
      <c r="Y278" s="18">
        <f t="shared" si="274"/>
        <v>-6.106884173366417E-2</v>
      </c>
      <c r="Z278" s="32" t="str">
        <f t="shared" si="261"/>
        <v>0.999936604272302+0.0300096946983619i</v>
      </c>
      <c r="AA278" s="18">
        <f t="shared" si="275"/>
        <v>1.0003868223539889</v>
      </c>
      <c r="AB278" s="18">
        <f t="shared" si="276"/>
        <v>3.0002591730072664E-2</v>
      </c>
      <c r="AC278" s="68" t="str">
        <f t="shared" si="277"/>
        <v>0.142411242470733-2.44460613428225i</v>
      </c>
      <c r="AD278" s="66">
        <f t="shared" si="278"/>
        <v>7.7788915520906095</v>
      </c>
      <c r="AE278" s="63">
        <f t="shared" si="279"/>
        <v>-86.665985791627421</v>
      </c>
      <c r="AF278" s="51" t="e">
        <f t="shared" si="280"/>
        <v>#NUM!</v>
      </c>
      <c r="AG278" s="51" t="str">
        <f t="shared" si="262"/>
        <v>1-13.2823337721813i</v>
      </c>
      <c r="AH278" s="51">
        <f t="shared" si="281"/>
        <v>13.319924565688348</v>
      </c>
      <c r="AI278" s="51">
        <f t="shared" si="282"/>
        <v>-1.4956501220126446</v>
      </c>
      <c r="AJ278" s="51" t="str">
        <f t="shared" si="263"/>
        <v>1+0.0442744459072709i</v>
      </c>
      <c r="AK278" s="51">
        <f t="shared" si="283"/>
        <v>1.0009796334393601</v>
      </c>
      <c r="AL278" s="51">
        <f t="shared" si="284"/>
        <v>4.4245550569572009E-2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-0.000170731707317073</v>
      </c>
      <c r="AT278" s="32" t="str">
        <f t="shared" si="266"/>
        <v>0.000950524827387738i</v>
      </c>
      <c r="AU278" s="32">
        <f t="shared" si="290"/>
        <v>9.5052482738773798E-4</v>
      </c>
      <c r="AV278" s="32">
        <f t="shared" si="291"/>
        <v>1.5707963267948966</v>
      </c>
      <c r="AW278" s="32" t="str">
        <f t="shared" si="267"/>
        <v>1+0.202374898152414i</v>
      </c>
      <c r="AX278" s="32">
        <f t="shared" si="292"/>
        <v>1.0202723162970757</v>
      </c>
      <c r="AY278" s="32">
        <f t="shared" si="293"/>
        <v>0.19967806935238563</v>
      </c>
      <c r="AZ278" s="32" t="str">
        <f t="shared" si="268"/>
        <v>1+3.84512306489587i</v>
      </c>
      <c r="BA278" s="32">
        <f t="shared" si="294"/>
        <v>3.9730305038086744</v>
      </c>
      <c r="BB278" s="32">
        <f t="shared" si="295"/>
        <v>1.3163629832008521</v>
      </c>
      <c r="BC278" s="60" t="str">
        <f t="shared" si="296"/>
        <v>-0.628561332745621+0.306823392206663i</v>
      </c>
      <c r="BD278" s="51">
        <f t="shared" si="297"/>
        <v>-3.1048697008641191</v>
      </c>
      <c r="BE278" s="63">
        <f t="shared" si="298"/>
        <v>153.98133260944707</v>
      </c>
      <c r="BF278" s="60" t="str">
        <f t="shared" si="299"/>
        <v>0.660548146364333+1.58027999030581i</v>
      </c>
      <c r="BG278" s="66">
        <f t="shared" si="300"/>
        <v>4.6740218512265033</v>
      </c>
      <c r="BH278" s="63">
        <f t="shared" si="301"/>
        <v>67.315346817819687</v>
      </c>
      <c r="BI278" s="60" t="e">
        <f t="shared" si="255"/>
        <v>#NUM!</v>
      </c>
      <c r="BJ278" s="66" t="e">
        <f t="shared" si="302"/>
        <v>#NUM!</v>
      </c>
      <c r="BK278" s="63" t="e">
        <f t="shared" si="256"/>
        <v>#NUM!</v>
      </c>
      <c r="BL278" s="51">
        <f t="shared" si="303"/>
        <v>4.6740218512265033</v>
      </c>
      <c r="BM278" s="63">
        <f t="shared" si="304"/>
        <v>67.315346817819687</v>
      </c>
    </row>
    <row r="279" spans="14:65" x14ac:dyDescent="0.3">
      <c r="N279" s="11">
        <v>61</v>
      </c>
      <c r="O279" s="52">
        <f t="shared" si="254"/>
        <v>4073.8027780411317</v>
      </c>
      <c r="P279" s="50" t="str">
        <f t="shared" si="257"/>
        <v>23.3035714285714</v>
      </c>
      <c r="Q279" s="18" t="str">
        <f t="shared" si="258"/>
        <v>1+9.70837076443364i</v>
      </c>
      <c r="R279" s="18">
        <f t="shared" si="269"/>
        <v>9.7597368253303767</v>
      </c>
      <c r="S279" s="18">
        <f t="shared" si="270"/>
        <v>1.4681544141853224</v>
      </c>
      <c r="T279" s="18" t="str">
        <f t="shared" si="259"/>
        <v>1+0.0453057302340237i</v>
      </c>
      <c r="U279" s="18">
        <f t="shared" si="271"/>
        <v>1.0010257784852685</v>
      </c>
      <c r="V279" s="18">
        <f t="shared" si="272"/>
        <v>4.5274770035158313E-2</v>
      </c>
      <c r="W279" s="32" t="str">
        <f t="shared" si="260"/>
        <v>1-0.0625691189672643i</v>
      </c>
      <c r="X279" s="18">
        <f t="shared" si="273"/>
        <v>1.0019555352650833</v>
      </c>
      <c r="Y279" s="18">
        <f t="shared" si="274"/>
        <v>-6.2487659721445876E-2</v>
      </c>
      <c r="Z279" s="32" t="str">
        <f t="shared" si="261"/>
        <v>0.999933616523702+0.0307087102853187i</v>
      </c>
      <c r="AA279" s="18">
        <f t="shared" si="275"/>
        <v>1.0004050491383767</v>
      </c>
      <c r="AB279" s="18">
        <f t="shared" si="276"/>
        <v>3.0701099482877532E-2</v>
      </c>
      <c r="AC279" s="68" t="str">
        <f t="shared" si="277"/>
        <v>0.130946641920707-2.39029498713i</v>
      </c>
      <c r="AD279" s="66">
        <f t="shared" si="278"/>
        <v>7.5820442643786663</v>
      </c>
      <c r="AE279" s="63">
        <f t="shared" si="279"/>
        <v>-86.864320965349492</v>
      </c>
      <c r="AF279" s="51" t="e">
        <f t="shared" si="280"/>
        <v>#NUM!</v>
      </c>
      <c r="AG279" s="51" t="str">
        <f t="shared" si="262"/>
        <v>1-13.5917190702071i</v>
      </c>
      <c r="AH279" s="51">
        <f t="shared" si="281"/>
        <v>13.628456526086561</v>
      </c>
      <c r="AI279" s="51">
        <f t="shared" si="282"/>
        <v>-1.49735444320398</v>
      </c>
      <c r="AJ279" s="51" t="str">
        <f t="shared" si="263"/>
        <v>1+0.0453057302340237i</v>
      </c>
      <c r="AK279" s="51">
        <f t="shared" si="283"/>
        <v>1.0010257784852685</v>
      </c>
      <c r="AL279" s="51">
        <f t="shared" si="284"/>
        <v>4.5274770035158313E-2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-0.000170731707317073</v>
      </c>
      <c r="AT279" s="32" t="str">
        <f t="shared" si="266"/>
        <v>0.000972665394854746i</v>
      </c>
      <c r="AU279" s="32">
        <f t="shared" si="290"/>
        <v>9.7266539485474596E-4</v>
      </c>
      <c r="AV279" s="32">
        <f t="shared" si="291"/>
        <v>1.5707963267948966</v>
      </c>
      <c r="AW279" s="32" t="str">
        <f t="shared" si="267"/>
        <v>1+0.207088815092896i</v>
      </c>
      <c r="AX279" s="32">
        <f t="shared" si="292"/>
        <v>1.0212177913337486</v>
      </c>
      <c r="AY279" s="32">
        <f t="shared" si="293"/>
        <v>0.20420234370156648</v>
      </c>
      <c r="AZ279" s="32" t="str">
        <f t="shared" si="268"/>
        <v>1+3.93468748676504i</v>
      </c>
      <c r="BA279" s="32">
        <f t="shared" si="294"/>
        <v>4.0597740846635029</v>
      </c>
      <c r="BB279" s="32">
        <f t="shared" si="295"/>
        <v>1.3219158082731195</v>
      </c>
      <c r="BC279" s="60" t="str">
        <f t="shared" si="296"/>
        <v>-0.627397988454965+0.305456849569017i</v>
      </c>
      <c r="BD279" s="51">
        <f t="shared" si="297"/>
        <v>-3.125315741432499</v>
      </c>
      <c r="BE279" s="63">
        <f t="shared" si="298"/>
        <v>154.04026422489497</v>
      </c>
      <c r="BF279" s="60" t="str">
        <f t="shared" si="299"/>
        <v>0.64797631657336+1.53966481544209i</v>
      </c>
      <c r="BG279" s="66">
        <f t="shared" si="300"/>
        <v>4.4567285229461699</v>
      </c>
      <c r="BH279" s="63">
        <f t="shared" si="301"/>
        <v>67.175943259545477</v>
      </c>
      <c r="BI279" s="60" t="e">
        <f t="shared" si="255"/>
        <v>#NUM!</v>
      </c>
      <c r="BJ279" s="66" t="e">
        <f t="shared" si="302"/>
        <v>#NUM!</v>
      </c>
      <c r="BK279" s="63" t="e">
        <f t="shared" si="256"/>
        <v>#NUM!</v>
      </c>
      <c r="BL279" s="51">
        <f t="shared" si="303"/>
        <v>4.4567285229461699</v>
      </c>
      <c r="BM279" s="63">
        <f t="shared" si="304"/>
        <v>67.175943259545477</v>
      </c>
    </row>
    <row r="280" spans="14:65" x14ac:dyDescent="0.3">
      <c r="N280" s="11">
        <v>62</v>
      </c>
      <c r="O280" s="52">
        <f t="shared" si="254"/>
        <v>4168.6938347033583</v>
      </c>
      <c r="P280" s="50" t="str">
        <f t="shared" si="257"/>
        <v>23.3035714285714</v>
      </c>
      <c r="Q280" s="18" t="str">
        <f t="shared" si="258"/>
        <v>1+9.93450776970831i</v>
      </c>
      <c r="R280" s="18">
        <f t="shared" si="269"/>
        <v>9.984710542944887</v>
      </c>
      <c r="S280" s="18">
        <f t="shared" si="270"/>
        <v>1.4704750043123875</v>
      </c>
      <c r="T280" s="18" t="str">
        <f t="shared" si="259"/>
        <v>1+0.0463610362586388i</v>
      </c>
      <c r="U280" s="18">
        <f t="shared" si="271"/>
        <v>1.0010740960003783</v>
      </c>
      <c r="V280" s="18">
        <f t="shared" si="272"/>
        <v>4.6327863729967174E-2</v>
      </c>
      <c r="W280" s="32" t="str">
        <f t="shared" si="260"/>
        <v>1-0.0640265409723825i</v>
      </c>
      <c r="X280" s="18">
        <f t="shared" si="273"/>
        <v>1.0020476026361662</v>
      </c>
      <c r="Y280" s="18">
        <f t="shared" si="274"/>
        <v>-6.3939265448038726E-2</v>
      </c>
      <c r="Z280" s="32" t="str">
        <f t="shared" si="261"/>
        <v>0.99993048796685+0.0314240080369466i</v>
      </c>
      <c r="AA280" s="18">
        <f t="shared" si="275"/>
        <v>1.0004241345782943</v>
      </c>
      <c r="AB280" s="18">
        <f t="shared" si="276"/>
        <v>3.1415853100556015E-2</v>
      </c>
      <c r="AC280" s="68" t="str">
        <f t="shared" si="277"/>
        <v>0.119986974278756-2.33714597895148i</v>
      </c>
      <c r="AD280" s="66">
        <f t="shared" si="278"/>
        <v>7.3851484439714898</v>
      </c>
      <c r="AE280" s="63">
        <f t="shared" si="279"/>
        <v>-87.061066408801111</v>
      </c>
      <c r="AF280" s="51" t="e">
        <f t="shared" si="280"/>
        <v>#NUM!</v>
      </c>
      <c r="AG280" s="51" t="str">
        <f t="shared" si="262"/>
        <v>1-13.9083108775917i</v>
      </c>
      <c r="AH280" s="51">
        <f t="shared" si="281"/>
        <v>13.944214264982291</v>
      </c>
      <c r="AI280" s="51">
        <f t="shared" si="282"/>
        <v>-1.4990203824235653</v>
      </c>
      <c r="AJ280" s="51" t="str">
        <f t="shared" si="263"/>
        <v>1+0.0463610362586388i</v>
      </c>
      <c r="AK280" s="51">
        <f t="shared" si="283"/>
        <v>1.0010740960003783</v>
      </c>
      <c r="AL280" s="51">
        <f t="shared" si="284"/>
        <v>4.6327863729967174E-2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-0.000170731707317073</v>
      </c>
      <c r="AT280" s="32" t="str">
        <f t="shared" si="266"/>
        <v>0.000995321682388854i</v>
      </c>
      <c r="AU280" s="32">
        <f t="shared" si="290"/>
        <v>9.9532168238885394E-4</v>
      </c>
      <c r="AV280" s="32">
        <f t="shared" si="291"/>
        <v>1.5707963267948966</v>
      </c>
      <c r="AW280" s="32" t="str">
        <f t="shared" si="267"/>
        <v>1+0.211912533264286i</v>
      </c>
      <c r="AX280" s="32">
        <f t="shared" si="292"/>
        <v>1.0222068879412265</v>
      </c>
      <c r="AY280" s="32">
        <f t="shared" si="293"/>
        <v>0.20882324078625525</v>
      </c>
      <c r="AZ280" s="32" t="str">
        <f t="shared" si="268"/>
        <v>1+4.02633813202145i</v>
      </c>
      <c r="BA280" s="32">
        <f t="shared" si="294"/>
        <v>4.1486622848057877</v>
      </c>
      <c r="BB280" s="32">
        <f t="shared" si="295"/>
        <v>1.3273574221245483</v>
      </c>
      <c r="BC280" s="60" t="str">
        <f t="shared" si="296"/>
        <v>-0.626184423958675+0.30423052635186i</v>
      </c>
      <c r="BD280" s="51">
        <f t="shared" si="297"/>
        <v>-3.1456000299061406</v>
      </c>
      <c r="BE280" s="63">
        <f t="shared" si="298"/>
        <v>154.0872878318049</v>
      </c>
      <c r="BF280" s="60" t="str">
        <f t="shared" si="299"/>
        <v>0.635897176966255+1.49998810887726i</v>
      </c>
      <c r="BG280" s="66">
        <f t="shared" si="300"/>
        <v>4.2395484140653537</v>
      </c>
      <c r="BH280" s="63">
        <f t="shared" si="301"/>
        <v>67.026221423003804</v>
      </c>
      <c r="BI280" s="60" t="e">
        <f t="shared" si="255"/>
        <v>#NUM!</v>
      </c>
      <c r="BJ280" s="66" t="e">
        <f t="shared" si="302"/>
        <v>#NUM!</v>
      </c>
      <c r="BK280" s="63" t="e">
        <f t="shared" si="256"/>
        <v>#NUM!</v>
      </c>
      <c r="BL280" s="51">
        <f t="shared" si="303"/>
        <v>4.2395484140653537</v>
      </c>
      <c r="BM280" s="63">
        <f t="shared" si="304"/>
        <v>67.026221423003804</v>
      </c>
    </row>
    <row r="281" spans="14:65" x14ac:dyDescent="0.3">
      <c r="N281" s="11">
        <v>63</v>
      </c>
      <c r="O281" s="52">
        <f t="shared" si="254"/>
        <v>4265.7951880159299</v>
      </c>
      <c r="P281" s="50" t="str">
        <f t="shared" si="257"/>
        <v>23.3035714285714</v>
      </c>
      <c r="Q281" s="18" t="str">
        <f t="shared" si="258"/>
        <v>1+10.1659121825012i</v>
      </c>
      <c r="R281" s="18">
        <f t="shared" si="269"/>
        <v>10.214977753393606</v>
      </c>
      <c r="S281" s="18">
        <f t="shared" si="270"/>
        <v>1.4727438194168199</v>
      </c>
      <c r="T281" s="18" t="str">
        <f t="shared" si="259"/>
        <v>1+0.047440923518339i</v>
      </c>
      <c r="U281" s="18">
        <f t="shared" si="271"/>
        <v>1.0011246881504186</v>
      </c>
      <c r="V281" s="18">
        <f t="shared" si="272"/>
        <v>4.7405380669798478E-2</v>
      </c>
      <c r="W281" s="32" t="str">
        <f t="shared" si="260"/>
        <v>1-0.0655179106970156i</v>
      </c>
      <c r="X281" s="18">
        <f t="shared" si="273"/>
        <v>1.0021439999431729</v>
      </c>
      <c r="Y281" s="18">
        <f t="shared" si="274"/>
        <v>-6.542440409009824E-2</v>
      </c>
      <c r="Z281" s="32" t="str">
        <f t="shared" si="261"/>
        <v>0.999927211965656+0.0321559672135815i</v>
      </c>
      <c r="AA281" s="18">
        <f t="shared" si="275"/>
        <v>1.0004441191075346</v>
      </c>
      <c r="AB281" s="18">
        <f t="shared" si="276"/>
        <v>3.2147229249764486E-2</v>
      </c>
      <c r="AC281" s="68" t="str">
        <f t="shared" si="277"/>
        <v>0.109510409953054-2.28513781157873i</v>
      </c>
      <c r="AD281" s="66">
        <f t="shared" si="278"/>
        <v>7.1882105170525401</v>
      </c>
      <c r="AE281" s="63">
        <f t="shared" si="279"/>
        <v>-87.256319708542421</v>
      </c>
      <c r="AF281" s="51" t="e">
        <f t="shared" si="280"/>
        <v>#NUM!</v>
      </c>
      <c r="AG281" s="51" t="str">
        <f t="shared" si="262"/>
        <v>1-14.2322770555017i</v>
      </c>
      <c r="AH281" s="51">
        <f t="shared" si="281"/>
        <v>14.267365215223172</v>
      </c>
      <c r="AI281" s="51">
        <f t="shared" si="282"/>
        <v>-1.5006487859651263</v>
      </c>
      <c r="AJ281" s="51" t="str">
        <f t="shared" si="263"/>
        <v>1+0.047440923518339i</v>
      </c>
      <c r="AK281" s="51">
        <f t="shared" si="283"/>
        <v>1.0011246881504186</v>
      </c>
      <c r="AL281" s="51">
        <f t="shared" si="284"/>
        <v>4.7405380669798478E-2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-0.000170731707317073</v>
      </c>
      <c r="AT281" s="32" t="str">
        <f t="shared" si="266"/>
        <v>0.0010185057026536i</v>
      </c>
      <c r="AU281" s="32">
        <f t="shared" si="290"/>
        <v>1.0185057026536001E-3</v>
      </c>
      <c r="AV281" s="32">
        <f t="shared" si="291"/>
        <v>1.5707963267948966</v>
      </c>
      <c r="AW281" s="32" t="str">
        <f t="shared" si="267"/>
        <v>1+0.216848610265806i</v>
      </c>
      <c r="AX281" s="32">
        <f t="shared" si="292"/>
        <v>1.0232415744946115</v>
      </c>
      <c r="AY281" s="32">
        <f t="shared" si="293"/>
        <v>0.21354242094945061</v>
      </c>
      <c r="AZ281" s="32" t="str">
        <f t="shared" si="268"/>
        <v>1+4.12012359505032i</v>
      </c>
      <c r="BA281" s="32">
        <f t="shared" si="294"/>
        <v>4.2397427325830011</v>
      </c>
      <c r="BB281" s="32">
        <f t="shared" si="295"/>
        <v>1.3326894203612178</v>
      </c>
      <c r="BC281" s="60" t="str">
        <f t="shared" si="296"/>
        <v>-0.624918687608951+0.303142352651919i</v>
      </c>
      <c r="BD281" s="51">
        <f t="shared" si="297"/>
        <v>-3.1657590910795053</v>
      </c>
      <c r="BE281" s="63">
        <f t="shared" si="298"/>
        <v>154.12239972102427</v>
      </c>
      <c r="BF281" s="60" t="str">
        <f t="shared" si="299"/>
        <v>0.624286950668453+1.46122256553042i</v>
      </c>
      <c r="BG281" s="66">
        <f t="shared" si="300"/>
        <v>4.0224514259730562</v>
      </c>
      <c r="BH281" s="63">
        <f t="shared" si="301"/>
        <v>66.86608001248193</v>
      </c>
      <c r="BI281" s="60" t="e">
        <f t="shared" si="255"/>
        <v>#NUM!</v>
      </c>
      <c r="BJ281" s="66" t="e">
        <f t="shared" si="302"/>
        <v>#NUM!</v>
      </c>
      <c r="BK281" s="63" t="e">
        <f t="shared" si="256"/>
        <v>#NUM!</v>
      </c>
      <c r="BL281" s="51">
        <f t="shared" si="303"/>
        <v>4.0224514259730562</v>
      </c>
      <c r="BM281" s="63">
        <f t="shared" si="304"/>
        <v>66.86608001248193</v>
      </c>
    </row>
    <row r="282" spans="14:65" x14ac:dyDescent="0.3">
      <c r="N282" s="11">
        <v>64</v>
      </c>
      <c r="O282" s="52">
        <f t="shared" si="254"/>
        <v>4365.1583224016631</v>
      </c>
      <c r="P282" s="50" t="str">
        <f t="shared" si="257"/>
        <v>23.3035714285714</v>
      </c>
      <c r="Q282" s="18" t="str">
        <f t="shared" si="258"/>
        <v>1+10.402706696495i</v>
      </c>
      <c r="R282" s="18">
        <f t="shared" si="269"/>
        <v>10.45066058262835</v>
      </c>
      <c r="S282" s="18">
        <f t="shared" si="270"/>
        <v>1.4749619689729452</v>
      </c>
      <c r="T282" s="18" t="str">
        <f t="shared" si="259"/>
        <v>1+0.0485459645836435i</v>
      </c>
      <c r="U282" s="18">
        <f t="shared" si="271"/>
        <v>1.0011776618949089</v>
      </c>
      <c r="V282" s="18">
        <f t="shared" si="272"/>
        <v>4.8507882154358875E-2</v>
      </c>
      <c r="W282" s="32" t="str">
        <f t="shared" si="260"/>
        <v>1-0.0670440188851322i</v>
      </c>
      <c r="X282" s="18">
        <f t="shared" si="273"/>
        <v>1.0022449303779342</v>
      </c>
      <c r="Y282" s="18">
        <f t="shared" si="274"/>
        <v>-6.6943836867613363E-2</v>
      </c>
      <c r="Z282" s="32" t="str">
        <f t="shared" si="261"/>
        <v>0.999923781571281+0.0329049759096676i</v>
      </c>
      <c r="AA282" s="18">
        <f t="shared" si="275"/>
        <v>1.0004650450622583</v>
      </c>
      <c r="AB282" s="18">
        <f t="shared" si="276"/>
        <v>3.2895613246068982E-2</v>
      </c>
      <c r="AC282" s="68" t="str">
        <f t="shared" si="277"/>
        <v>0.0994960217729789-2.23424934717498i</v>
      </c>
      <c r="AD282" s="66">
        <f t="shared" si="278"/>
        <v>6.9912368296704939</v>
      </c>
      <c r="AE282" s="63">
        <f t="shared" si="279"/>
        <v>-87.450177964313824</v>
      </c>
      <c r="AF282" s="51" t="e">
        <f t="shared" si="280"/>
        <v>#NUM!</v>
      </c>
      <c r="AG282" s="51" t="str">
        <f t="shared" si="262"/>
        <v>1-14.5637893750931i</v>
      </c>
      <c r="AH282" s="51">
        <f t="shared" si="281"/>
        <v>14.598080728714809</v>
      </c>
      <c r="AI282" s="51">
        <f t="shared" si="282"/>
        <v>-1.5022404826661127</v>
      </c>
      <c r="AJ282" s="51" t="str">
        <f t="shared" si="263"/>
        <v>1+0.0485459645836435i</v>
      </c>
      <c r="AK282" s="51">
        <f t="shared" si="283"/>
        <v>1.0011776618949089</v>
      </c>
      <c r="AL282" s="51">
        <f t="shared" si="284"/>
        <v>4.8507882154358875E-2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-0.000170731707317073</v>
      </c>
      <c r="AT282" s="32" t="str">
        <f t="shared" si="266"/>
        <v>0.00104222974812342i</v>
      </c>
      <c r="AU282" s="32">
        <f t="shared" si="290"/>
        <v>1.04222974812342E-3</v>
      </c>
      <c r="AV282" s="32">
        <f t="shared" si="291"/>
        <v>1.5707963267948966</v>
      </c>
      <c r="AW282" s="32" t="str">
        <f t="shared" si="267"/>
        <v>1+0.22189966327082i</v>
      </c>
      <c r="AX282" s="32">
        <f t="shared" si="292"/>
        <v>1.0243239041239365</v>
      </c>
      <c r="AY282" s="32">
        <f t="shared" si="293"/>
        <v>0.21836154517949685</v>
      </c>
      <c r="AZ282" s="32" t="str">
        <f t="shared" si="268"/>
        <v>1+4.21609360214558i</v>
      </c>
      <c r="BA282" s="32">
        <f t="shared" si="294"/>
        <v>4.3330641885452028</v>
      </c>
      <c r="BB282" s="32">
        <f t="shared" si="295"/>
        <v>1.3379134168365547</v>
      </c>
      <c r="BC282" s="60" t="str">
        <f t="shared" si="296"/>
        <v>-0.623598771762008+0.302190245554248i</v>
      </c>
      <c r="BD282" s="51">
        <f t="shared" si="297"/>
        <v>-3.1858293370181996</v>
      </c>
      <c r="BE282" s="63">
        <f t="shared" si="298"/>
        <v>154.14559719192135</v>
      </c>
      <c r="BF282" s="60" t="str">
        <f t="shared" si="299"/>
        <v>0.61312276187939+1.42334187595963i</v>
      </c>
      <c r="BG282" s="66">
        <f t="shared" si="300"/>
        <v>3.8054074926522796</v>
      </c>
      <c r="BH282" s="63">
        <f t="shared" si="301"/>
        <v>66.695419227607474</v>
      </c>
      <c r="BI282" s="60" t="e">
        <f t="shared" si="255"/>
        <v>#NUM!</v>
      </c>
      <c r="BJ282" s="66" t="e">
        <f t="shared" si="302"/>
        <v>#NUM!</v>
      </c>
      <c r="BK282" s="63" t="e">
        <f t="shared" si="256"/>
        <v>#NUM!</v>
      </c>
      <c r="BL282" s="51">
        <f t="shared" si="303"/>
        <v>3.8054074926522796</v>
      </c>
      <c r="BM282" s="63">
        <f t="shared" si="304"/>
        <v>66.695419227607474</v>
      </c>
    </row>
    <row r="283" spans="14:65" x14ac:dyDescent="0.3">
      <c r="N283" s="11">
        <v>65</v>
      </c>
      <c r="O283" s="52">
        <f t="shared" si="254"/>
        <v>4466.8359215096343</v>
      </c>
      <c r="P283" s="50" t="str">
        <f t="shared" si="257"/>
        <v>23.3035714285714</v>
      </c>
      <c r="Q283" s="18" t="str">
        <f t="shared" si="258"/>
        <v>1+10.6450168632754i</v>
      </c>
      <c r="R283" s="18">
        <f t="shared" si="269"/>
        <v>10.69188402571865</v>
      </c>
      <c r="S283" s="18">
        <f t="shared" si="270"/>
        <v>1.4771305417153167</v>
      </c>
      <c r="T283" s="18" t="str">
        <f t="shared" si="259"/>
        <v>1+0.049676745361952i</v>
      </c>
      <c r="U283" s="18">
        <f t="shared" si="271"/>
        <v>1.0012331292110526</v>
      </c>
      <c r="V283" s="18">
        <f t="shared" si="272"/>
        <v>4.9635942017626396E-2</v>
      </c>
      <c r="W283" s="32" t="str">
        <f t="shared" si="260"/>
        <v>1-0.0686056746994943i</v>
      </c>
      <c r="X283" s="18">
        <f t="shared" si="273"/>
        <v>1.0023506066247343</v>
      </c>
      <c r="Y283" s="18">
        <f t="shared" si="274"/>
        <v>-6.8498341325133508E-2</v>
      </c>
      <c r="Z283" s="32" t="str">
        <f t="shared" si="261"/>
        <v>0.999920189507401+0.0336714312595299i</v>
      </c>
      <c r="AA283" s="18">
        <f t="shared" si="275"/>
        <v>1.0004869567703429</v>
      </c>
      <c r="AB283" s="18">
        <f t="shared" si="276"/>
        <v>3.3661399246508676E-2</v>
      </c>
      <c r="AC283" s="68" t="str">
        <f t="shared" si="277"/>
        <v>0.089923751058184-2.18445962509982i</v>
      </c>
      <c r="AD283" s="66">
        <f t="shared" si="278"/>
        <v>6.794233659971626</v>
      </c>
      <c r="AE283" s="63">
        <f t="shared" si="279"/>
        <v>-87.64273781130106</v>
      </c>
      <c r="AF283" s="51" t="e">
        <f t="shared" si="280"/>
        <v>#NUM!</v>
      </c>
      <c r="AG283" s="51" t="str">
        <f t="shared" si="262"/>
        <v>1-14.9030236085856i</v>
      </c>
      <c r="AH283" s="51">
        <f t="shared" si="281"/>
        <v>14.936536167333433</v>
      </c>
      <c r="AI283" s="51">
        <f t="shared" si="282"/>
        <v>-1.50379628418657</v>
      </c>
      <c r="AJ283" s="51" t="str">
        <f t="shared" si="263"/>
        <v>1+0.049676745361952i</v>
      </c>
      <c r="AK283" s="51">
        <f t="shared" si="283"/>
        <v>1.0012331292110526</v>
      </c>
      <c r="AL283" s="51">
        <f t="shared" si="284"/>
        <v>4.9635942017626396E-2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-0.000170731707317073</v>
      </c>
      <c r="AT283" s="32" t="str">
        <f t="shared" si="266"/>
        <v>0.00106650639760123i</v>
      </c>
      <c r="AU283" s="32">
        <f t="shared" si="290"/>
        <v>1.06650639760123E-3</v>
      </c>
      <c r="AV283" s="32">
        <f t="shared" si="291"/>
        <v>1.5707963267948966</v>
      </c>
      <c r="AW283" s="32" t="str">
        <f t="shared" si="267"/>
        <v>1+0.227068370414489i</v>
      </c>
      <c r="AX283" s="32">
        <f t="shared" si="292"/>
        <v>1.0254560179952583</v>
      </c>
      <c r="AY283" s="32">
        <f t="shared" si="293"/>
        <v>0.22328227287639574</v>
      </c>
      <c r="AZ283" s="32" t="str">
        <f t="shared" si="268"/>
        <v>1+4.31429903787529i</v>
      </c>
      <c r="BA283" s="32">
        <f t="shared" si="294"/>
        <v>4.4286765729969098</v>
      </c>
      <c r="BB283" s="32">
        <f t="shared" si="295"/>
        <v>1.3430310403744312</v>
      </c>
      <c r="BC283" s="60" t="str">
        <f t="shared" si="296"/>
        <v>-0.622222613057863+0.301372103527426i</v>
      </c>
      <c r="BD283" s="51">
        <f t="shared" si="297"/>
        <v>-3.205847099357169</v>
      </c>
      <c r="BE283" s="63">
        <f t="shared" si="298"/>
        <v>154.15687849261309</v>
      </c>
      <c r="BF283" s="60" t="str">
        <f t="shared" si="299"/>
        <v>0.602382600927677+1.38632068606249i</v>
      </c>
      <c r="BG283" s="66">
        <f t="shared" si="300"/>
        <v>3.5883865606144489</v>
      </c>
      <c r="BH283" s="63">
        <f t="shared" si="301"/>
        <v>66.514140681312028</v>
      </c>
      <c r="BI283" s="60" t="e">
        <f t="shared" si="255"/>
        <v>#NUM!</v>
      </c>
      <c r="BJ283" s="66" t="e">
        <f t="shared" si="302"/>
        <v>#NUM!</v>
      </c>
      <c r="BK283" s="63" t="e">
        <f t="shared" si="256"/>
        <v>#NUM!</v>
      </c>
      <c r="BL283" s="51">
        <f t="shared" si="303"/>
        <v>3.5883865606144489</v>
      </c>
      <c r="BM283" s="63">
        <f t="shared" si="304"/>
        <v>66.514140681312028</v>
      </c>
    </row>
    <row r="284" spans="14:65" x14ac:dyDescent="0.3">
      <c r="N284" s="11">
        <v>66</v>
      </c>
      <c r="O284" s="52">
        <f t="shared" ref="O284:O318" si="305">10^(3+(N284/100))</f>
        <v>4570.8818961487532</v>
      </c>
      <c r="P284" s="50" t="str">
        <f t="shared" si="257"/>
        <v>23.3035714285714</v>
      </c>
      <c r="Q284" s="18" t="str">
        <f t="shared" si="258"/>
        <v>1+10.8929711589002i</v>
      </c>
      <c r="R284" s="18">
        <f t="shared" si="269"/>
        <v>10.938776013276421</v>
      </c>
      <c r="S284" s="18">
        <f t="shared" si="270"/>
        <v>1.4792506058196451</v>
      </c>
      <c r="T284" s="18" t="str">
        <f t="shared" si="259"/>
        <v>1+0.050833865408201i</v>
      </c>
      <c r="U284" s="18">
        <f t="shared" si="271"/>
        <v>1.0012912073279876</v>
      </c>
      <c r="V284" s="18">
        <f t="shared" si="272"/>
        <v>5.0790146881526645E-2</v>
      </c>
      <c r="W284" s="32" t="str">
        <f t="shared" si="260"/>
        <v>1-0.0702037061506856i</v>
      </c>
      <c r="X284" s="18">
        <f t="shared" si="273"/>
        <v>1.0024612512996658</v>
      </c>
      <c r="Y284" s="18">
        <f t="shared" si="274"/>
        <v>-7.0088711613114529E-2</v>
      </c>
      <c r="Z284" s="32" t="str">
        <f t="shared" si="261"/>
        <v>0.999916428154766+0.03445573964794i</v>
      </c>
      <c r="AA284" s="18">
        <f t="shared" si="275"/>
        <v>1.0005099006449021</v>
      </c>
      <c r="AB284" s="18">
        <f t="shared" si="276"/>
        <v>3.4444990446012964E-2</v>
      </c>
      <c r="AC284" s="68" t="str">
        <f t="shared" si="277"/>
        <v>0.0807743746482008-2.13574787716182i</v>
      </c>
      <c r="AD284" s="66">
        <f t="shared" si="278"/>
        <v>6.5972072303516249</v>
      </c>
      <c r="AE284" s="63">
        <f t="shared" si="279"/>
        <v>-87.834095443340829</v>
      </c>
      <c r="AF284" s="51" t="e">
        <f t="shared" si="280"/>
        <v>#NUM!</v>
      </c>
      <c r="AG284" s="51" t="str">
        <f t="shared" si="262"/>
        <v>1-15.2501596224603i</v>
      </c>
      <c r="AH284" s="51">
        <f t="shared" si="281"/>
        <v>15.282910995962727</v>
      </c>
      <c r="AI284" s="51">
        <f t="shared" si="282"/>
        <v>-1.5053169852893464</v>
      </c>
      <c r="AJ284" s="51" t="str">
        <f t="shared" si="263"/>
        <v>1+0.050833865408201i</v>
      </c>
      <c r="AK284" s="51">
        <f t="shared" si="283"/>
        <v>1.0012912073279876</v>
      </c>
      <c r="AL284" s="51">
        <f t="shared" si="284"/>
        <v>5.0790146881526645E-2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-0.000170731707317073</v>
      </c>
      <c r="AT284" s="32" t="str">
        <f t="shared" si="266"/>
        <v>0.00109134852288793i</v>
      </c>
      <c r="AU284" s="32">
        <f t="shared" si="290"/>
        <v>1.09134852288793E-3</v>
      </c>
      <c r="AV284" s="32">
        <f t="shared" si="291"/>
        <v>1.5707963267948966</v>
      </c>
      <c r="AW284" s="32" t="str">
        <f t="shared" si="267"/>
        <v>1+0.232357472213757i</v>
      </c>
      <c r="AX284" s="32">
        <f t="shared" si="292"/>
        <v>1.0266401486857832</v>
      </c>
      <c r="AY284" s="32">
        <f t="shared" si="293"/>
        <v>0.22830625945626679</v>
      </c>
      <c r="AZ284" s="32" t="str">
        <f t="shared" si="268"/>
        <v>1+4.41479197206139i</v>
      </c>
      <c r="BA284" s="32">
        <f t="shared" si="294"/>
        <v>4.5266309940813256</v>
      </c>
      <c r="BB284" s="32">
        <f t="shared" si="295"/>
        <v>1.3480439316837247</v>
      </c>
      <c r="BC284" s="60" t="str">
        <f t="shared" si="296"/>
        <v>-0.620788092922397+0.300685800659566i</v>
      </c>
      <c r="BD284" s="51">
        <f t="shared" si="297"/>
        <v>-3.225848662015522</v>
      </c>
      <c r="BE284" s="63">
        <f t="shared" si="298"/>
        <v>154.15624278043646</v>
      </c>
      <c r="BF284" s="60" t="str">
        <f t="shared" si="299"/>
        <v>0.592045290456514+1.35013455914021i</v>
      </c>
      <c r="BG284" s="66">
        <f t="shared" si="300"/>
        <v>3.3713585683360785</v>
      </c>
      <c r="BH284" s="63">
        <f t="shared" si="301"/>
        <v>66.322147337095601</v>
      </c>
      <c r="BI284" s="60" t="e">
        <f t="shared" si="255"/>
        <v>#NUM!</v>
      </c>
      <c r="BJ284" s="66" t="e">
        <f t="shared" si="302"/>
        <v>#NUM!</v>
      </c>
      <c r="BK284" s="63" t="e">
        <f t="shared" si="256"/>
        <v>#NUM!</v>
      </c>
      <c r="BL284" s="51">
        <f t="shared" si="303"/>
        <v>3.3713585683360785</v>
      </c>
      <c r="BM284" s="63">
        <f t="shared" si="304"/>
        <v>66.322147337095601</v>
      </c>
    </row>
    <row r="285" spans="14:65" x14ac:dyDescent="0.3">
      <c r="N285" s="11">
        <v>67</v>
      </c>
      <c r="O285" s="52">
        <f t="shared" si="305"/>
        <v>4677.3514128719844</v>
      </c>
      <c r="P285" s="50" t="str">
        <f t="shared" si="257"/>
        <v>23.3035714285714</v>
      </c>
      <c r="Q285" s="18" t="str">
        <f t="shared" si="258"/>
        <v>1+11.1467010520189i</v>
      </c>
      <c r="R285" s="18">
        <f t="shared" si="269"/>
        <v>11.191467479427319</v>
      </c>
      <c r="S285" s="18">
        <f t="shared" si="270"/>
        <v>1.4813232090979607</v>
      </c>
      <c r="T285" s="18" t="str">
        <f t="shared" si="259"/>
        <v>1+0.0520179382427551i</v>
      </c>
      <c r="U285" s="18">
        <f t="shared" si="271"/>
        <v>1.0013520189718634</v>
      </c>
      <c r="V285" s="18">
        <f t="shared" si="272"/>
        <v>5.1971096412820057E-2</v>
      </c>
      <c r="W285" s="32" t="str">
        <f t="shared" si="260"/>
        <v>1-0.0718389605361338i</v>
      </c>
      <c r="X285" s="18">
        <f t="shared" si="273"/>
        <v>1.002577097409926</v>
      </c>
      <c r="Y285" s="18">
        <f t="shared" si="274"/>
        <v>-7.1715758768949672E-2</v>
      </c>
      <c r="Z285" s="32" t="str">
        <f t="shared" si="261"/>
        <v>0.999912489535042+0.0352583169255872i</v>
      </c>
      <c r="AA285" s="18">
        <f t="shared" si="275"/>
        <v>1.0005339252821919</v>
      </c>
      <c r="AB285" s="18">
        <f t="shared" si="276"/>
        <v>3.5246799277716456E-2</v>
      </c>
      <c r="AC285" s="68" t="str">
        <f t="shared" si="277"/>
        <v>0.0720294728953766-2.08809354136316i</v>
      </c>
      <c r="AD285" s="66">
        <f t="shared" si="278"/>
        <v>6.4001637195440981</v>
      </c>
      <c r="AE285" s="63">
        <f t="shared" si="279"/>
        <v>-88.024346636963273</v>
      </c>
      <c r="AF285" s="51" t="e">
        <f t="shared" si="280"/>
        <v>#NUM!</v>
      </c>
      <c r="AG285" s="51" t="str">
        <f t="shared" si="262"/>
        <v>1-15.6053814728265i</v>
      </c>
      <c r="AH285" s="51">
        <f t="shared" si="281"/>
        <v>15.637388877700667</v>
      </c>
      <c r="AI285" s="51">
        <f t="shared" si="282"/>
        <v>-1.5068033641211003</v>
      </c>
      <c r="AJ285" s="51" t="str">
        <f t="shared" si="263"/>
        <v>1+0.0520179382427551i</v>
      </c>
      <c r="AK285" s="51">
        <f t="shared" si="283"/>
        <v>1.0013520189718634</v>
      </c>
      <c r="AL285" s="51">
        <f t="shared" si="284"/>
        <v>5.1971096412820057E-2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-0.000170731707317073</v>
      </c>
      <c r="AT285" s="32" t="str">
        <f t="shared" si="266"/>
        <v>0.00111676929560717i</v>
      </c>
      <c r="AU285" s="32">
        <f t="shared" si="290"/>
        <v>1.1167692956071699E-3</v>
      </c>
      <c r="AV285" s="32">
        <f t="shared" si="291"/>
        <v>1.5707963267948966</v>
      </c>
      <c r="AW285" s="32" t="str">
        <f t="shared" si="267"/>
        <v>1+0.237769773020407i</v>
      </c>
      <c r="AX285" s="32">
        <f t="shared" si="292"/>
        <v>1.0278786236527035</v>
      </c>
      <c r="AY285" s="32">
        <f t="shared" si="293"/>
        <v>0.23343515378751281</v>
      </c>
      <c r="AZ285" s="32" t="str">
        <f t="shared" si="268"/>
        <v>1+4.51762568738774i</v>
      </c>
      <c r="BA285" s="32">
        <f t="shared" si="294"/>
        <v>4.626979776414152</v>
      </c>
      <c r="BB285" s="32">
        <f t="shared" si="295"/>
        <v>1.3529537404587779</v>
      </c>
      <c r="BC285" s="60" t="str">
        <f t="shared" si="296"/>
        <v>-0.619293038313415+0.300129180737719i</v>
      </c>
      <c r="BD285" s="51">
        <f t="shared" si="297"/>
        <v>-3.2458702941561102</v>
      </c>
      <c r="BE285" s="63">
        <f t="shared" si="298"/>
        <v>154.14369010271437</v>
      </c>
      <c r="BF285" s="60" t="str">
        <f t="shared" si="299"/>
        <v>0.582090452755556+1.31475994020247i</v>
      </c>
      <c r="BG285" s="66">
        <f t="shared" si="300"/>
        <v>3.154293425387996</v>
      </c>
      <c r="BH285" s="63">
        <f t="shared" si="301"/>
        <v>66.119343465751115</v>
      </c>
      <c r="BI285" s="60" t="e">
        <f t="shared" si="255"/>
        <v>#NUM!</v>
      </c>
      <c r="BJ285" s="66" t="e">
        <f t="shared" si="302"/>
        <v>#NUM!</v>
      </c>
      <c r="BK285" s="63" t="e">
        <f t="shared" si="256"/>
        <v>#NUM!</v>
      </c>
      <c r="BL285" s="51">
        <f t="shared" si="303"/>
        <v>3.154293425387996</v>
      </c>
      <c r="BM285" s="63">
        <f t="shared" si="304"/>
        <v>66.119343465751115</v>
      </c>
    </row>
    <row r="286" spans="14:65" x14ac:dyDescent="0.3">
      <c r="N286" s="11">
        <v>68</v>
      </c>
      <c r="O286" s="52">
        <f t="shared" si="305"/>
        <v>4786.3009232263848</v>
      </c>
      <c r="P286" s="50" t="str">
        <f t="shared" si="257"/>
        <v>23.3035714285714</v>
      </c>
      <c r="Q286" s="18" t="str">
        <f t="shared" si="258"/>
        <v>1+11.4063410735795i</v>
      </c>
      <c r="R286" s="18">
        <f t="shared" si="269"/>
        <v>11.450092431366077</v>
      </c>
      <c r="S286" s="18">
        <f t="shared" si="270"/>
        <v>1.4833493792065733</v>
      </c>
      <c r="T286" s="18" t="str">
        <f t="shared" si="259"/>
        <v>1+0.0532295916767043i</v>
      </c>
      <c r="U286" s="18">
        <f t="shared" si="271"/>
        <v>1.001415692622234</v>
      </c>
      <c r="V286" s="18">
        <f t="shared" si="272"/>
        <v>5.3179403583089625E-2</v>
      </c>
      <c r="W286" s="32" t="str">
        <f t="shared" si="260"/>
        <v>1-0.0735123048893594i</v>
      </c>
      <c r="X286" s="18">
        <f t="shared" si="273"/>
        <v>1.0026983888339236</v>
      </c>
      <c r="Y286" s="18">
        <f t="shared" si="274"/>
        <v>-7.3380310997210929E-2</v>
      </c>
      <c r="Z286" s="32" t="str">
        <f t="shared" si="261"/>
        <v>0.999908365293889+0.0360795886295673i</v>
      </c>
      <c r="AA286" s="18">
        <f t="shared" si="275"/>
        <v>1.0005590815640903</v>
      </c>
      <c r="AB286" s="18">
        <f t="shared" si="276"/>
        <v>3.6067247617213333E-2</v>
      </c>
      <c r="AC286" s="68" t="str">
        <f t="shared" si="277"/>
        <v>0.0636713986201957-2.04147627423487i</v>
      </c>
      <c r="AD286" s="66">
        <f t="shared" si="278"/>
        <v>6.2031092746609948</v>
      </c>
      <c r="AE286" s="63">
        <f t="shared" si="279"/>
        <v>-88.213586776170629</v>
      </c>
      <c r="AF286" s="51" t="e">
        <f t="shared" si="280"/>
        <v>#NUM!</v>
      </c>
      <c r="AG286" s="51" t="str">
        <f t="shared" si="262"/>
        <v>1-15.9688775030113i</v>
      </c>
      <c r="AH286" s="51">
        <f t="shared" si="281"/>
        <v>16.000157771290269</v>
      </c>
      <c r="AI286" s="51">
        <f t="shared" si="282"/>
        <v>-1.5082561824936445</v>
      </c>
      <c r="AJ286" s="51" t="str">
        <f t="shared" si="263"/>
        <v>1+0.0532295916767043i</v>
      </c>
      <c r="AK286" s="51">
        <f t="shared" si="283"/>
        <v>1.001415692622234</v>
      </c>
      <c r="AL286" s="51">
        <f t="shared" si="284"/>
        <v>5.3179403583089625E-2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-0.000170731707317073</v>
      </c>
      <c r="AT286" s="32" t="str">
        <f t="shared" si="266"/>
        <v>0.00114278219418913i</v>
      </c>
      <c r="AU286" s="32">
        <f t="shared" si="290"/>
        <v>1.14278219418913E-3</v>
      </c>
      <c r="AV286" s="32">
        <f t="shared" si="291"/>
        <v>1.5707963267948966</v>
      </c>
      <c r="AW286" s="32" t="str">
        <f t="shared" si="267"/>
        <v>1+0.243308142507968i</v>
      </c>
      <c r="AX286" s="32">
        <f t="shared" si="292"/>
        <v>1.029173868795102</v>
      </c>
      <c r="AY286" s="32">
        <f t="shared" si="293"/>
        <v>0.23867059545240754</v>
      </c>
      <c r="AZ286" s="32" t="str">
        <f t="shared" si="268"/>
        <v>1+4.62285470765141i</v>
      </c>
      <c r="BA286" s="32">
        <f t="shared" si="294"/>
        <v>4.7297764902852224</v>
      </c>
      <c r="BB286" s="32">
        <f t="shared" si="295"/>
        <v>1.3577621226599108</v>
      </c>
      <c r="BC286" s="60" t="str">
        <f t="shared" si="296"/>
        <v>-0.617735222733344+0.299700051174786i</v>
      </c>
      <c r="BD286" s="51">
        <f t="shared" si="297"/>
        <v>-3.2659482832209847</v>
      </c>
      <c r="BE286" s="63">
        <f t="shared" si="298"/>
        <v>154.11922139783974</v>
      </c>
      <c r="BF286" s="60" t="str">
        <f t="shared" si="299"/>
        <v>0.572498478251912+1.28017412239416i</v>
      </c>
      <c r="BG286" s="66">
        <f t="shared" si="300"/>
        <v>2.9371609914400247</v>
      </c>
      <c r="BH286" s="63">
        <f t="shared" si="301"/>
        <v>65.905634621669122</v>
      </c>
      <c r="BI286" s="60" t="e">
        <f t="shared" si="255"/>
        <v>#NUM!</v>
      </c>
      <c r="BJ286" s="66" t="e">
        <f t="shared" si="302"/>
        <v>#NUM!</v>
      </c>
      <c r="BK286" s="63" t="e">
        <f t="shared" si="256"/>
        <v>#NUM!</v>
      </c>
      <c r="BL286" s="51">
        <f t="shared" si="303"/>
        <v>2.9371609914400247</v>
      </c>
      <c r="BM286" s="63">
        <f t="shared" si="304"/>
        <v>65.905634621669122</v>
      </c>
    </row>
    <row r="287" spans="14:65" x14ac:dyDescent="0.3">
      <c r="N287" s="11">
        <v>69</v>
      </c>
      <c r="O287" s="52">
        <f t="shared" si="305"/>
        <v>4897.7881936844633</v>
      </c>
      <c r="P287" s="50" t="str">
        <f t="shared" si="257"/>
        <v>23.3035714285714</v>
      </c>
      <c r="Q287" s="18" t="str">
        <f t="shared" si="258"/>
        <v>1+11.672028888158i</v>
      </c>
      <c r="R287" s="18">
        <f t="shared" si="269"/>
        <v>11.714788020531778</v>
      </c>
      <c r="S287" s="18">
        <f t="shared" si="270"/>
        <v>1.4853301238654812</v>
      </c>
      <c r="T287" s="18" t="str">
        <f t="shared" si="259"/>
        <v>1+0.0544694681447376i</v>
      </c>
      <c r="U287" s="18">
        <f t="shared" si="271"/>
        <v>1.0014823627802791</v>
      </c>
      <c r="V287" s="18">
        <f t="shared" si="272"/>
        <v>5.4415694931698295E-2</v>
      </c>
      <c r="W287" s="32" t="str">
        <f t="shared" si="260"/>
        <v>1-0.0752246264396878i</v>
      </c>
      <c r="X287" s="18">
        <f t="shared" si="273"/>
        <v>1.0028253808230976</v>
      </c>
      <c r="Y287" s="18">
        <f t="shared" si="274"/>
        <v>-7.5083213948584013E-2</v>
      </c>
      <c r="Z287" s="32" t="str">
        <f t="shared" si="261"/>
        <v>0.999904046683239+0.0369199902090086i</v>
      </c>
      <c r="AA287" s="18">
        <f t="shared" si="275"/>
        <v>1.0005854227653681</v>
      </c>
      <c r="AB287" s="18">
        <f t="shared" si="276"/>
        <v>3.6906766990794378E-2</v>
      </c>
      <c r="AC287" s="68" t="str">
        <f t="shared" si="277"/>
        <v>0.0556832470247651-1.99587596185688i</v>
      </c>
      <c r="AD287" s="66">
        <f t="shared" si="278"/>
        <v>6.0060500232038647</v>
      </c>
      <c r="AE287" s="63">
        <f t="shared" si="279"/>
        <v>-88.401910877855059</v>
      </c>
      <c r="AF287" s="51" t="e">
        <f t="shared" si="280"/>
        <v>#NUM!</v>
      </c>
      <c r="AG287" s="51" t="str">
        <f t="shared" si="262"/>
        <v>1-16.3408404434213i</v>
      </c>
      <c r="AH287" s="51">
        <f t="shared" si="281"/>
        <v>16.371410030823647</v>
      </c>
      <c r="AI287" s="51">
        <f t="shared" si="282"/>
        <v>-1.5096761861651844</v>
      </c>
      <c r="AJ287" s="51" t="str">
        <f t="shared" si="263"/>
        <v>1+0.0544694681447376i</v>
      </c>
      <c r="AK287" s="51">
        <f t="shared" si="283"/>
        <v>1.0014823627802791</v>
      </c>
      <c r="AL287" s="51">
        <f t="shared" si="284"/>
        <v>5.4415694931698295E-2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-0.000170731707317073</v>
      </c>
      <c r="AT287" s="32" t="str">
        <f t="shared" si="266"/>
        <v>0.00116940101101696i</v>
      </c>
      <c r="AU287" s="32">
        <f t="shared" si="290"/>
        <v>1.1694010110169599E-3</v>
      </c>
      <c r="AV287" s="32">
        <f t="shared" si="291"/>
        <v>1.5707963267948966</v>
      </c>
      <c r="AW287" s="32" t="str">
        <f t="shared" si="267"/>
        <v>1+0.248975517193251i</v>
      </c>
      <c r="AX287" s="32">
        <f t="shared" si="292"/>
        <v>1.0305284121079084</v>
      </c>
      <c r="AY287" s="32">
        <f t="shared" si="293"/>
        <v>0.2440142118279974</v>
      </c>
      <c r="AZ287" s="32" t="str">
        <f t="shared" si="268"/>
        <v>1+4.73053482667178i</v>
      </c>
      <c r="BA287" s="32">
        <f t="shared" si="294"/>
        <v>4.8350759814458568</v>
      </c>
      <c r="BB287" s="32">
        <f t="shared" si="295"/>
        <v>1.3624707379678382</v>
      </c>
      <c r="BC287" s="60" t="str">
        <f t="shared" si="296"/>
        <v>-0.616112367532288+0.299396176789855i</v>
      </c>
      <c r="BD287" s="51">
        <f t="shared" si="297"/>
        <v>-3.2861189678732221</v>
      </c>
      <c r="BE287" s="63">
        <f t="shared" si="298"/>
        <v>154.0828385166763</v>
      </c>
      <c r="BF287" s="60" t="str">
        <f t="shared" si="299"/>
        <v>0.563250495170411+1.24635521543088i</v>
      </c>
      <c r="BG287" s="66">
        <f t="shared" si="300"/>
        <v>2.7199310553306151</v>
      </c>
      <c r="BH287" s="63">
        <f t="shared" si="301"/>
        <v>65.680927638821174</v>
      </c>
      <c r="BI287" s="60" t="e">
        <f t="shared" si="255"/>
        <v>#NUM!</v>
      </c>
      <c r="BJ287" s="66" t="e">
        <f t="shared" si="302"/>
        <v>#NUM!</v>
      </c>
      <c r="BK287" s="63" t="e">
        <f t="shared" si="256"/>
        <v>#NUM!</v>
      </c>
      <c r="BL287" s="51">
        <f t="shared" si="303"/>
        <v>2.7199310553306151</v>
      </c>
      <c r="BM287" s="63">
        <f t="shared" si="304"/>
        <v>65.680927638821174</v>
      </c>
    </row>
    <row r="288" spans="14:65" x14ac:dyDescent="0.3">
      <c r="N288" s="11">
        <v>70</v>
      </c>
      <c r="O288" s="52">
        <f t="shared" si="305"/>
        <v>5011.8723362727324</v>
      </c>
      <c r="P288" s="50" t="str">
        <f t="shared" si="257"/>
        <v>23.3035714285714</v>
      </c>
      <c r="Q288" s="18" t="str">
        <f t="shared" si="258"/>
        <v>1+11.9439053669507i</v>
      </c>
      <c r="R288" s="18">
        <f t="shared" si="269"/>
        <v>11.985694615443601</v>
      </c>
      <c r="S288" s="18">
        <f t="shared" si="270"/>
        <v>1.4872664310879997</v>
      </c>
      <c r="T288" s="18" t="str">
        <f t="shared" si="259"/>
        <v>1+0.0557382250457698i</v>
      </c>
      <c r="U288" s="18">
        <f t="shared" si="271"/>
        <v>1.0015521702493848</v>
      </c>
      <c r="V288" s="18">
        <f t="shared" si="272"/>
        <v>5.5680610831571463E-2</v>
      </c>
      <c r="W288" s="32" t="str">
        <f t="shared" si="260"/>
        <v>1-0.0769768330826702i</v>
      </c>
      <c r="X288" s="18">
        <f t="shared" si="273"/>
        <v>1.0029583405263836</v>
      </c>
      <c r="Y288" s="18">
        <f t="shared" si="274"/>
        <v>-7.6825330996938779E-2</v>
      </c>
      <c r="Z288" s="32" t="str">
        <f t="shared" si="261"/>
        <v>0.99989952454274+0.0377799672559526i</v>
      </c>
      <c r="AA288" s="18">
        <f t="shared" si="275"/>
        <v>1.0006130046659689</v>
      </c>
      <c r="AB288" s="18">
        <f t="shared" si="276"/>
        <v>3.7765798787701803E-2</v>
      </c>
      <c r="AC288" s="68" t="str">
        <f t="shared" si="277"/>
        <v>0.0480488265572408-1.95127272965112i</v>
      </c>
      <c r="AD288" s="66">
        <f t="shared" si="278"/>
        <v>5.8089920850615311</v>
      </c>
      <c r="AE288" s="63">
        <f t="shared" si="279"/>
        <v>-88.589413617763185</v>
      </c>
      <c r="AF288" s="51" t="e">
        <f t="shared" si="280"/>
        <v>#NUM!</v>
      </c>
      <c r="AG288" s="51" t="str">
        <f t="shared" si="262"/>
        <v>1-16.721467513731i</v>
      </c>
      <c r="AH288" s="51">
        <f t="shared" si="281"/>
        <v>16.751342507774151</v>
      </c>
      <c r="AI288" s="51">
        <f t="shared" si="282"/>
        <v>-1.5110641051210523</v>
      </c>
      <c r="AJ288" s="51" t="str">
        <f t="shared" si="263"/>
        <v>1+0.0557382250457698i</v>
      </c>
      <c r="AK288" s="51">
        <f t="shared" si="283"/>
        <v>1.0015521702493848</v>
      </c>
      <c r="AL288" s="51">
        <f t="shared" si="284"/>
        <v>5.5680610831571463E-2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-0.000170731707317073</v>
      </c>
      <c r="AT288" s="32" t="str">
        <f t="shared" si="266"/>
        <v>0.00119663985973969i</v>
      </c>
      <c r="AU288" s="32">
        <f t="shared" si="290"/>
        <v>1.19663985973969E-3</v>
      </c>
      <c r="AV288" s="32">
        <f t="shared" si="291"/>
        <v>1.5707963267948966</v>
      </c>
      <c r="AW288" s="32" t="str">
        <f t="shared" si="267"/>
        <v>1+0.254774901993331i</v>
      </c>
      <c r="AX288" s="32">
        <f t="shared" si="292"/>
        <v>1.0319448874265096</v>
      </c>
      <c r="AY288" s="32">
        <f t="shared" si="293"/>
        <v>0.24946761498049069</v>
      </c>
      <c r="AZ288" s="32" t="str">
        <f t="shared" si="268"/>
        <v>1+4.8407231378733i</v>
      </c>
      <c r="BA288" s="32">
        <f t="shared" si="294"/>
        <v>4.9429344015009873</v>
      </c>
      <c r="BB288" s="32">
        <f t="shared" si="295"/>
        <v>1.3670812474057106</v>
      </c>
      <c r="BC288" s="60" t="str">
        <f t="shared" si="296"/>
        <v>-0.614422143526132+0.299215273449847i</v>
      </c>
      <c r="BD288" s="51">
        <f t="shared" si="297"/>
        <v>-3.3064187706750303</v>
      </c>
      <c r="BE288" s="63">
        <f t="shared" si="298"/>
        <v>154.03454426425043</v>
      </c>
      <c r="BF288" s="60" t="str">
        <f t="shared" si="299"/>
        <v>0.554328340370574+1.2132821159336i</v>
      </c>
      <c r="BG288" s="66">
        <f t="shared" si="300"/>
        <v>2.5025733143865199</v>
      </c>
      <c r="BH288" s="63">
        <f t="shared" si="301"/>
        <v>65.445130646487314</v>
      </c>
      <c r="BI288" s="60" t="e">
        <f t="shared" si="255"/>
        <v>#NUM!</v>
      </c>
      <c r="BJ288" s="66" t="e">
        <f t="shared" si="302"/>
        <v>#NUM!</v>
      </c>
      <c r="BK288" s="63" t="e">
        <f t="shared" si="256"/>
        <v>#NUM!</v>
      </c>
      <c r="BL288" s="51">
        <f t="shared" si="303"/>
        <v>2.5025733143865199</v>
      </c>
      <c r="BM288" s="63">
        <f t="shared" si="304"/>
        <v>65.445130646487314</v>
      </c>
    </row>
    <row r="289" spans="14:65" x14ac:dyDescent="0.3">
      <c r="N289" s="11">
        <v>71</v>
      </c>
      <c r="O289" s="52">
        <f t="shared" si="305"/>
        <v>5128.6138399136489</v>
      </c>
      <c r="P289" s="50" t="str">
        <f t="shared" si="257"/>
        <v>23.3035714285714</v>
      </c>
      <c r="Q289" s="18" t="str">
        <f t="shared" si="258"/>
        <v>1+12.2221146624651i</v>
      </c>
      <c r="R289" s="18">
        <f t="shared" si="269"/>
        <v>12.262955876233283</v>
      </c>
      <c r="S289" s="18">
        <f t="shared" si="270"/>
        <v>1.4891592694194191</v>
      </c>
      <c r="T289" s="18" t="str">
        <f t="shared" si="259"/>
        <v>1+0.0570365350915037i</v>
      </c>
      <c r="U289" s="18">
        <f t="shared" si="271"/>
        <v>1.0016252624286412</v>
      </c>
      <c r="V289" s="18">
        <f t="shared" si="272"/>
        <v>5.6974805757642799E-2</v>
      </c>
      <c r="W289" s="32" t="str">
        <f t="shared" si="260"/>
        <v>1-0.0787698538614614i</v>
      </c>
      <c r="X289" s="18">
        <f t="shared" si="273"/>
        <v>1.0030975475383019</v>
      </c>
      <c r="Y289" s="18">
        <f t="shared" si="274"/>
        <v>-7.8607543513926403E-2</v>
      </c>
      <c r="Z289" s="32" t="str">
        <f t="shared" si="261"/>
        <v>0.999894789280324+0.0386599757416125i</v>
      </c>
      <c r="AA289" s="18">
        <f t="shared" si="275"/>
        <v>1.0006418856685371</v>
      </c>
      <c r="AB289" s="18">
        <f t="shared" si="276"/>
        <v>3.8644794476437927E-2</v>
      </c>
      <c r="AC289" s="68" t="str">
        <f t="shared" si="277"/>
        <v>0.0407526307174945-1.90764695103173i</v>
      </c>
      <c r="AD289" s="66">
        <f t="shared" si="278"/>
        <v>5.6119415845126248</v>
      </c>
      <c r="AE289" s="63">
        <f t="shared" si="279"/>
        <v>-88.776189356916518</v>
      </c>
      <c r="AF289" s="51" t="e">
        <f t="shared" si="280"/>
        <v>#NUM!</v>
      </c>
      <c r="AG289" s="51" t="str">
        <f t="shared" si="262"/>
        <v>1-17.1109605274511i</v>
      </c>
      <c r="AH289" s="51">
        <f t="shared" si="281"/>
        <v>17.140156655409822</v>
      </c>
      <c r="AI289" s="51">
        <f t="shared" si="282"/>
        <v>-1.5124206538535701</v>
      </c>
      <c r="AJ289" s="51" t="str">
        <f t="shared" si="263"/>
        <v>1+0.0570365350915037i</v>
      </c>
      <c r="AK289" s="51">
        <f t="shared" si="283"/>
        <v>1.0016252624286412</v>
      </c>
      <c r="AL289" s="51">
        <f t="shared" si="284"/>
        <v>5.6974805757642799E-2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-0.000170731707317073</v>
      </c>
      <c r="AT289" s="32" t="str">
        <f t="shared" si="266"/>
        <v>0.00122451318275545i</v>
      </c>
      <c r="AU289" s="32">
        <f t="shared" si="290"/>
        <v>1.2245131827554501E-3</v>
      </c>
      <c r="AV289" s="32">
        <f t="shared" si="291"/>
        <v>1.5707963267948966</v>
      </c>
      <c r="AW289" s="32" t="str">
        <f t="shared" si="267"/>
        <v>1+0.260709371818791i</v>
      </c>
      <c r="AX289" s="32">
        <f t="shared" si="292"/>
        <v>1.0334260382601885</v>
      </c>
      <c r="AY289" s="32">
        <f t="shared" si="293"/>
        <v>0.25503239836762165</v>
      </c>
      <c r="AZ289" s="32" t="str">
        <f t="shared" si="268"/>
        <v>1+4.95347806455703i</v>
      </c>
      <c r="BA289" s="32">
        <f t="shared" si="294"/>
        <v>5.0534092389245169</v>
      </c>
      <c r="BB289" s="32">
        <f t="shared" si="295"/>
        <v>1.3715953111223091</v>
      </c>
      <c r="BC289" s="60" t="str">
        <f t="shared" si="296"/>
        <v>-0.612662172955187+0.299155001582539i</v>
      </c>
      <c r="BD289" s="51">
        <f t="shared" si="297"/>
        <v>-3.3268842303317565</v>
      </c>
      <c r="BE289" s="63">
        <f t="shared" si="298"/>
        <v>153.97434246167751</v>
      </c>
      <c r="BF289" s="60" t="str">
        <f t="shared" si="299"/>
        <v>0.545714531365802+1.18093447955722i</v>
      </c>
      <c r="BG289" s="66">
        <f t="shared" si="300"/>
        <v>2.2850573541808581</v>
      </c>
      <c r="BH289" s="63">
        <f t="shared" si="301"/>
        <v>65.198153104760976</v>
      </c>
      <c r="BI289" s="60" t="e">
        <f t="shared" si="255"/>
        <v>#NUM!</v>
      </c>
      <c r="BJ289" s="66" t="e">
        <f t="shared" si="302"/>
        <v>#NUM!</v>
      </c>
      <c r="BK289" s="63" t="e">
        <f t="shared" si="256"/>
        <v>#NUM!</v>
      </c>
      <c r="BL289" s="51">
        <f t="shared" si="303"/>
        <v>2.2850573541808581</v>
      </c>
      <c r="BM289" s="63">
        <f t="shared" si="304"/>
        <v>65.198153104760976</v>
      </c>
    </row>
    <row r="290" spans="14:65" x14ac:dyDescent="0.3">
      <c r="N290" s="11">
        <v>72</v>
      </c>
      <c r="O290" s="52">
        <f t="shared" si="305"/>
        <v>5248.0746024977261</v>
      </c>
      <c r="P290" s="50" t="str">
        <f t="shared" si="257"/>
        <v>23.3035714285714</v>
      </c>
      <c r="Q290" s="18" t="str">
        <f t="shared" si="258"/>
        <v>1+12.5068042849524i</v>
      </c>
      <c r="R290" s="18">
        <f t="shared" si="269"/>
        <v>12.546718830917657</v>
      </c>
      <c r="S290" s="18">
        <f t="shared" si="270"/>
        <v>1.4910095881836334</v>
      </c>
      <c r="T290" s="18" t="str">
        <f t="shared" si="259"/>
        <v>1+0.0583650866631111i</v>
      </c>
      <c r="U290" s="18">
        <f t="shared" si="271"/>
        <v>1.001701793619834</v>
      </c>
      <c r="V290" s="18">
        <f t="shared" si="272"/>
        <v>5.8298948557779701E-2</v>
      </c>
      <c r="W290" s="32" t="str">
        <f t="shared" si="260"/>
        <v>1-0.0806046394594127i</v>
      </c>
      <c r="X290" s="18">
        <f t="shared" si="273"/>
        <v>1.003243294471676</v>
      </c>
      <c r="Y290" s="18">
        <f t="shared" si="274"/>
        <v>-8.0430751140448772E-2</v>
      </c>
      <c r="Z290" s="32" t="str">
        <f t="shared" si="261"/>
        <v>0.999889830851866+0.0395604822581361i</v>
      </c>
      <c r="AA290" s="18">
        <f t="shared" si="275"/>
        <v>1.0006721269214354</v>
      </c>
      <c r="AB290" s="18">
        <f t="shared" si="276"/>
        <v>3.9544215825159899E-2</v>
      </c>
      <c r="AC290" s="68" t="str">
        <f t="shared" si="277"/>
        <v>0.0337798107920096-1.86497925499136i</v>
      </c>
      <c r="AD290" s="66">
        <f t="shared" si="278"/>
        <v>5.4149046622500538</v>
      </c>
      <c r="AE290" s="63">
        <f t="shared" si="279"/>
        <v>-88.96233216840092</v>
      </c>
      <c r="AF290" s="51" t="e">
        <f t="shared" si="280"/>
        <v>#NUM!</v>
      </c>
      <c r="AG290" s="51" t="str">
        <f t="shared" si="262"/>
        <v>1-17.5095259989334i</v>
      </c>
      <c r="AH290" s="51">
        <f t="shared" si="281"/>
        <v>17.538058635645072</v>
      </c>
      <c r="AI290" s="51">
        <f t="shared" si="282"/>
        <v>-1.5137465316407104</v>
      </c>
      <c r="AJ290" s="51" t="str">
        <f t="shared" si="263"/>
        <v>1+0.0583650866631111i</v>
      </c>
      <c r="AK290" s="51">
        <f t="shared" si="283"/>
        <v>1.001701793619834</v>
      </c>
      <c r="AL290" s="51">
        <f t="shared" si="284"/>
        <v>5.8298948557779701E-2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-0.000170731707317073</v>
      </c>
      <c r="AT290" s="32" t="str">
        <f t="shared" si="266"/>
        <v>0.00125303575886905i</v>
      </c>
      <c r="AU290" s="32">
        <f t="shared" si="290"/>
        <v>1.2530357588690501E-3</v>
      </c>
      <c r="AV290" s="32">
        <f t="shared" si="291"/>
        <v>1.5707963267948966</v>
      </c>
      <c r="AW290" s="32" t="str">
        <f t="shared" si="267"/>
        <v>1+0.266782073204086i</v>
      </c>
      <c r="AX290" s="32">
        <f t="shared" si="292"/>
        <v>1.0349747217121152</v>
      </c>
      <c r="AY290" s="32">
        <f t="shared" si="293"/>
        <v>0.26071013334391274</v>
      </c>
      <c r="AZ290" s="32" t="str">
        <f t="shared" si="268"/>
        <v>1+5.06885939087765i</v>
      </c>
      <c r="BA290" s="32">
        <f t="shared" si="294"/>
        <v>5.1665593507177041</v>
      </c>
      <c r="BB290" s="32">
        <f t="shared" si="295"/>
        <v>1.3760145863299029</v>
      </c>
      <c r="BC290" s="60" t="str">
        <f t="shared" si="296"/>
        <v>-0.610830031809706+0.299212959573384i</v>
      </c>
      <c r="BD290" s="51">
        <f t="shared" si="297"/>
        <v>-3.3475520333291358</v>
      </c>
      <c r="BE290" s="63">
        <f t="shared" si="298"/>
        <v>153.90223802824417</v>
      </c>
      <c r="BF290" s="60" t="str">
        <f t="shared" si="299"/>
        <v>0.537392239528321+1.14929269481172i</v>
      </c>
      <c r="BG290" s="66">
        <f t="shared" si="300"/>
        <v>2.0673526289209194</v>
      </c>
      <c r="BH290" s="63">
        <f t="shared" si="301"/>
        <v>64.939905859843236</v>
      </c>
      <c r="BI290" s="60" t="e">
        <f t="shared" si="255"/>
        <v>#NUM!</v>
      </c>
      <c r="BJ290" s="66" t="e">
        <f t="shared" si="302"/>
        <v>#NUM!</v>
      </c>
      <c r="BK290" s="63" t="e">
        <f t="shared" si="256"/>
        <v>#NUM!</v>
      </c>
      <c r="BL290" s="51">
        <f t="shared" si="303"/>
        <v>2.0673526289209194</v>
      </c>
      <c r="BM290" s="63">
        <f t="shared" si="304"/>
        <v>64.939905859843236</v>
      </c>
    </row>
    <row r="291" spans="14:65" x14ac:dyDescent="0.3">
      <c r="N291" s="11">
        <v>73</v>
      </c>
      <c r="O291" s="52">
        <f t="shared" si="305"/>
        <v>5370.3179637025269</v>
      </c>
      <c r="P291" s="50" t="str">
        <f t="shared" si="257"/>
        <v>23.3035714285714</v>
      </c>
      <c r="Q291" s="18" t="str">
        <f t="shared" si="258"/>
        <v>1+12.7981251806187i</v>
      </c>
      <c r="R291" s="18">
        <f t="shared" si="269"/>
        <v>12.837133953448737</v>
      </c>
      <c r="S291" s="18">
        <f t="shared" si="270"/>
        <v>1.492818317736708</v>
      </c>
      <c r="T291" s="18" t="str">
        <f t="shared" si="259"/>
        <v>1+0.0597245841762204i</v>
      </c>
      <c r="U291" s="18">
        <f t="shared" si="271"/>
        <v>1.0017819253485374</v>
      </c>
      <c r="V291" s="18">
        <f t="shared" si="272"/>
        <v>5.9653722725983779E-2</v>
      </c>
      <c r="W291" s="32" t="str">
        <f t="shared" si="260"/>
        <v>1-0.0824821627041336i</v>
      </c>
      <c r="X291" s="18">
        <f t="shared" si="273"/>
        <v>1.0033958875560289</v>
      </c>
      <c r="Y291" s="18">
        <f t="shared" si="274"/>
        <v>-8.2295872054281835E-2</v>
      </c>
      <c r="Z291" s="32" t="str">
        <f t="shared" si="261"/>
        <v>0.999884638739875+0.0404819642659977i</v>
      </c>
      <c r="AA291" s="18">
        <f t="shared" si="275"/>
        <v>1.0007037924474973</v>
      </c>
      <c r="AB291" s="18">
        <f t="shared" si="276"/>
        <v>4.0464535126185551E-2</v>
      </c>
      <c r="AC291" s="68" t="str">
        <f t="shared" si="277"/>
        <v>0.0271161495041628-1.82325053269818i</v>
      </c>
      <c r="AD291" s="66">
        <f t="shared" si="278"/>
        <v>5.2178874874450454</v>
      </c>
      <c r="AE291" s="63">
        <f t="shared" si="279"/>
        <v>-89.147935864438651</v>
      </c>
      <c r="AF291" s="51" t="e">
        <f t="shared" si="280"/>
        <v>#NUM!</v>
      </c>
      <c r="AG291" s="51" t="str">
        <f t="shared" si="262"/>
        <v>1-17.9173752528662i</v>
      </c>
      <c r="AH291" s="51">
        <f t="shared" si="281"/>
        <v>17.945259428384482</v>
      </c>
      <c r="AI291" s="51">
        <f t="shared" si="282"/>
        <v>-1.5150424228232413</v>
      </c>
      <c r="AJ291" s="51" t="str">
        <f t="shared" si="263"/>
        <v>1+0.0597245841762204i</v>
      </c>
      <c r="AK291" s="51">
        <f t="shared" si="283"/>
        <v>1.0017819253485374</v>
      </c>
      <c r="AL291" s="51">
        <f t="shared" si="284"/>
        <v>5.9653722725983779E-2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-0.000170731707317073</v>
      </c>
      <c r="AT291" s="32" t="str">
        <f t="shared" si="266"/>
        <v>0.0012822227111279i</v>
      </c>
      <c r="AU291" s="32">
        <f t="shared" si="290"/>
        <v>1.2822227111279E-3</v>
      </c>
      <c r="AV291" s="32">
        <f t="shared" si="291"/>
        <v>1.5707963267948966</v>
      </c>
      <c r="AW291" s="32" t="str">
        <f t="shared" si="267"/>
        <v>1+0.272996225975872i</v>
      </c>
      <c r="AX291" s="32">
        <f t="shared" si="292"/>
        <v>1.0365939124831234</v>
      </c>
      <c r="AY291" s="32">
        <f t="shared" si="293"/>
        <v>0.26650236546422595</v>
      </c>
      <c r="AZ291" s="32" t="str">
        <f t="shared" si="268"/>
        <v>1+5.18692829354158i</v>
      </c>
      <c r="BA291" s="32">
        <f t="shared" si="294"/>
        <v>5.2824449947294454</v>
      </c>
      <c r="BB291" s="32">
        <f t="shared" si="295"/>
        <v>1.3803407253901827</v>
      </c>
      <c r="BC291" s="60" t="str">
        <f t="shared" si="296"/>
        <v>-0.608923252549071+0.299386677061145i</v>
      </c>
      <c r="BD291" s="51">
        <f t="shared" si="297"/>
        <v>-3.3684590447905305</v>
      </c>
      <c r="BE291" s="63">
        <f t="shared" si="298"/>
        <v>153.81823708353087</v>
      </c>
      <c r="BF291" s="60" t="str">
        <f t="shared" si="299"/>
        <v>0.529345264481789+1.11833785847715i</v>
      </c>
      <c r="BG291" s="66">
        <f t="shared" si="300"/>
        <v>1.8494284426545362</v>
      </c>
      <c r="BH291" s="63">
        <f t="shared" si="301"/>
        <v>64.670301219092309</v>
      </c>
      <c r="BI291" s="60" t="e">
        <f t="shared" si="255"/>
        <v>#NUM!</v>
      </c>
      <c r="BJ291" s="66" t="e">
        <f t="shared" si="302"/>
        <v>#NUM!</v>
      </c>
      <c r="BK291" s="63" t="e">
        <f t="shared" si="256"/>
        <v>#NUM!</v>
      </c>
      <c r="BL291" s="51">
        <f t="shared" si="303"/>
        <v>1.8494284426545362</v>
      </c>
      <c r="BM291" s="63">
        <f t="shared" si="304"/>
        <v>64.670301219092309</v>
      </c>
    </row>
    <row r="292" spans="14:65" x14ac:dyDescent="0.3">
      <c r="N292" s="11">
        <v>74</v>
      </c>
      <c r="O292" s="52">
        <f t="shared" si="305"/>
        <v>5495.4087385762541</v>
      </c>
      <c r="P292" s="50" t="str">
        <f t="shared" si="257"/>
        <v>23.3035714285714</v>
      </c>
      <c r="Q292" s="18" t="str">
        <f t="shared" si="258"/>
        <v>1+13.0962318116589i</v>
      </c>
      <c r="R292" s="18">
        <f t="shared" si="269"/>
        <v>13.134355243585675</v>
      </c>
      <c r="S292" s="18">
        <f t="shared" si="270"/>
        <v>1.494586369726465</v>
      </c>
      <c r="T292" s="18" t="str">
        <f t="shared" si="259"/>
        <v>1+0.0611157484544085i</v>
      </c>
      <c r="U292" s="18">
        <f t="shared" si="271"/>
        <v>1.0018658266999343</v>
      </c>
      <c r="V292" s="18">
        <f t="shared" si="272"/>
        <v>6.1039826677644862E-2</v>
      </c>
      <c r="W292" s="32" t="str">
        <f t="shared" si="260"/>
        <v>1-0.084403419083301i</v>
      </c>
      <c r="X292" s="18">
        <f t="shared" si="273"/>
        <v>1.0035556472627472</v>
      </c>
      <c r="Y292" s="18">
        <f t="shared" si="274"/>
        <v>-8.4203843233095169E-2</v>
      </c>
      <c r="Z292" s="32" t="str">
        <f t="shared" si="261"/>
        <v>0.999879201931184+0.0414249103471554i</v>
      </c>
      <c r="AA292" s="18">
        <f t="shared" si="275"/>
        <v>1.0007369492787859</v>
      </c>
      <c r="AB292" s="18">
        <f t="shared" si="276"/>
        <v>4.1406235424638775E-2</v>
      </c>
      <c r="AC292" s="68" t="str">
        <f t="shared" si="277"/>
        <v>0.0207480355642998-1.78244194317404i</v>
      </c>
      <c r="AD292" s="66">
        <f t="shared" si="278"/>
        <v>5.0208962698690733</v>
      </c>
      <c r="AE292" s="63">
        <f t="shared" si="279"/>
        <v>-89.333094023661019</v>
      </c>
      <c r="AF292" s="51" t="e">
        <f t="shared" si="280"/>
        <v>#NUM!</v>
      </c>
      <c r="AG292" s="51" t="str">
        <f t="shared" si="262"/>
        <v>1-18.3347245363226i</v>
      </c>
      <c r="AH292" s="51">
        <f t="shared" si="281"/>
        <v>18.361974943421252</v>
      </c>
      <c r="AI292" s="51">
        <f t="shared" si="282"/>
        <v>-1.5163089970800934</v>
      </c>
      <c r="AJ292" s="51" t="str">
        <f t="shared" si="263"/>
        <v>1+0.0611157484544085i</v>
      </c>
      <c r="AK292" s="51">
        <f t="shared" si="283"/>
        <v>1.0018658266999343</v>
      </c>
      <c r="AL292" s="51">
        <f t="shared" si="284"/>
        <v>6.1039826677644862E-2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-0.000170731707317073</v>
      </c>
      <c r="AT292" s="32" t="str">
        <f t="shared" si="266"/>
        <v>0.00131208951484041i</v>
      </c>
      <c r="AU292" s="32">
        <f t="shared" si="290"/>
        <v>1.3120895148404099E-3</v>
      </c>
      <c r="AV292" s="32">
        <f t="shared" si="291"/>
        <v>1.5707963267948966</v>
      </c>
      <c r="AW292" s="32" t="str">
        <f t="shared" si="267"/>
        <v>1+0.279355124960204i</v>
      </c>
      <c r="AX292" s="32">
        <f t="shared" si="292"/>
        <v>1.0382867069559982</v>
      </c>
      <c r="AY292" s="32">
        <f t="shared" si="293"/>
        <v>0.27241061058162702</v>
      </c>
      <c r="AZ292" s="32" t="str">
        <f t="shared" si="268"/>
        <v>1+5.30774737424388i</v>
      </c>
      <c r="BA292" s="32">
        <f t="shared" si="294"/>
        <v>5.4011278626591324</v>
      </c>
      <c r="BB292" s="32">
        <f t="shared" si="295"/>
        <v>1.3845753740417623</v>
      </c>
      <c r="BC292" s="60" t="str">
        <f t="shared" si="296"/>
        <v>-0.606939327242146+0.299673608150205i</v>
      </c>
      <c r="BD292" s="51">
        <f t="shared" si="297"/>
        <v>-3.3896423383754821</v>
      </c>
      <c r="BE292" s="63">
        <f t="shared" si="298"/>
        <v>153.72234706943121</v>
      </c>
      <c r="BF292" s="60" t="str">
        <f t="shared" si="299"/>
        <v>0.521558009682235+1.08805175251782i</v>
      </c>
      <c r="BG292" s="66">
        <f t="shared" si="300"/>
        <v>1.6312539314936028</v>
      </c>
      <c r="BH292" s="63">
        <f t="shared" si="301"/>
        <v>64.389253045770232</v>
      </c>
      <c r="BI292" s="60" t="e">
        <f t="shared" si="255"/>
        <v>#NUM!</v>
      </c>
      <c r="BJ292" s="66" t="e">
        <f t="shared" si="302"/>
        <v>#NUM!</v>
      </c>
      <c r="BK292" s="63" t="e">
        <f t="shared" si="256"/>
        <v>#NUM!</v>
      </c>
      <c r="BL292" s="51">
        <f t="shared" si="303"/>
        <v>1.6312539314936028</v>
      </c>
      <c r="BM292" s="63">
        <f t="shared" si="304"/>
        <v>64.389253045770232</v>
      </c>
    </row>
    <row r="293" spans="14:65" x14ac:dyDescent="0.3">
      <c r="N293" s="11">
        <v>75</v>
      </c>
      <c r="O293" s="52">
        <f t="shared" si="305"/>
        <v>5623.4132519034993</v>
      </c>
      <c r="P293" s="50" t="str">
        <f t="shared" si="257"/>
        <v>23.3035714285714</v>
      </c>
      <c r="Q293" s="18" t="str">
        <f t="shared" si="258"/>
        <v>1+13.4012822381549i</v>
      </c>
      <c r="R293" s="18">
        <f t="shared" si="269"/>
        <v>13.438540308630474</v>
      </c>
      <c r="S293" s="18">
        <f t="shared" si="270"/>
        <v>1.4963146373572078</v>
      </c>
      <c r="T293" s="18" t="str">
        <f t="shared" si="259"/>
        <v>1+0.0625393171113895i</v>
      </c>
      <c r="U293" s="18">
        <f t="shared" si="271"/>
        <v>1.0019536746700213</v>
      </c>
      <c r="V293" s="18">
        <f t="shared" si="272"/>
        <v>6.2457974026593546E-2</v>
      </c>
      <c r="W293" s="32" t="str">
        <f t="shared" si="260"/>
        <v>1-0.0863694272724776i</v>
      </c>
      <c r="X293" s="18">
        <f t="shared" si="273"/>
        <v>1.0037229089581328</v>
      </c>
      <c r="Y293" s="18">
        <f t="shared" si="274"/>
        <v>-8.6155620712027786E-2</v>
      </c>
      <c r="Z293" s="32" t="str">
        <f t="shared" si="261"/>
        <v>0.999873508893593+0.0423898204641026i</v>
      </c>
      <c r="AA293" s="18">
        <f t="shared" si="275"/>
        <v>1.0007716675976417</v>
      </c>
      <c r="AB293" s="18">
        <f t="shared" si="276"/>
        <v>4.2369810751248418E-2</v>
      </c>
      <c r="AC293" s="68" t="str">
        <f t="shared" si="277"/>
        <v>0.0146624391026898-1.74253491811977i</v>
      </c>
      <c r="AD293" s="66">
        <f t="shared" si="278"/>
        <v>4.8239372720904345</v>
      </c>
      <c r="AE293" s="63">
        <f t="shared" si="279"/>
        <v>-89.517900018498437</v>
      </c>
      <c r="AF293" s="51" t="e">
        <f t="shared" si="280"/>
        <v>#NUM!</v>
      </c>
      <c r="AG293" s="51" t="str">
        <f t="shared" si="262"/>
        <v>1-18.7617951334169i</v>
      </c>
      <c r="AH293" s="51">
        <f t="shared" si="281"/>
        <v>18.788426134945581</v>
      </c>
      <c r="AI293" s="51">
        <f t="shared" si="282"/>
        <v>-1.5175469097016823</v>
      </c>
      <c r="AJ293" s="51" t="str">
        <f t="shared" si="263"/>
        <v>1+0.0625393171113895i</v>
      </c>
      <c r="AK293" s="51">
        <f t="shared" si="283"/>
        <v>1.0019536746700213</v>
      </c>
      <c r="AL293" s="51">
        <f t="shared" si="284"/>
        <v>6.2457974026593546E-2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-0.000170731707317073</v>
      </c>
      <c r="AT293" s="32" t="str">
        <f t="shared" si="266"/>
        <v>0.00134265200578124i</v>
      </c>
      <c r="AU293" s="32">
        <f t="shared" si="290"/>
        <v>1.34265200578124E-3</v>
      </c>
      <c r="AV293" s="32">
        <f t="shared" si="291"/>
        <v>1.5707963267948966</v>
      </c>
      <c r="AW293" s="32" t="str">
        <f t="shared" si="267"/>
        <v>1+0.285862141729491i</v>
      </c>
      <c r="AX293" s="32">
        <f t="shared" si="292"/>
        <v>1.0400563273564425</v>
      </c>
      <c r="AY293" s="32">
        <f t="shared" si="293"/>
        <v>0.2784363507362474</v>
      </c>
      <c r="AZ293" s="32" t="str">
        <f t="shared" si="268"/>
        <v>1+5.43138069286033i</v>
      </c>
      <c r="BA293" s="32">
        <f t="shared" si="294"/>
        <v>5.5226711137615245</v>
      </c>
      <c r="BB293" s="32">
        <f t="shared" si="295"/>
        <v>1.3887201697627161</v>
      </c>
      <c r="BC293" s="60" t="str">
        <f t="shared" si="296"/>
        <v>-0.60487571115623+0.300071124560335i</v>
      </c>
      <c r="BD293" s="51">
        <f t="shared" si="297"/>
        <v>-3.4111392250419343</v>
      </c>
      <c r="BE293" s="63">
        <f t="shared" si="298"/>
        <v>153.61457689188347</v>
      </c>
      <c r="BF293" s="60" t="str">
        <f t="shared" si="299"/>
        <v>0.514015459186326+1.0584168224026i</v>
      </c>
      <c r="BG293" s="66">
        <f t="shared" si="300"/>
        <v>1.4127980470484958</v>
      </c>
      <c r="BH293" s="63">
        <f t="shared" si="301"/>
        <v>64.096676873385064</v>
      </c>
      <c r="BI293" s="60" t="e">
        <f t="shared" si="255"/>
        <v>#NUM!</v>
      </c>
      <c r="BJ293" s="66" t="e">
        <f t="shared" si="302"/>
        <v>#NUM!</v>
      </c>
      <c r="BK293" s="63" t="e">
        <f t="shared" si="256"/>
        <v>#NUM!</v>
      </c>
      <c r="BL293" s="51">
        <f t="shared" si="303"/>
        <v>1.4127980470484958</v>
      </c>
      <c r="BM293" s="63">
        <f t="shared" si="304"/>
        <v>64.096676873385064</v>
      </c>
    </row>
    <row r="294" spans="14:65" x14ac:dyDescent="0.3">
      <c r="N294" s="11">
        <v>76</v>
      </c>
      <c r="O294" s="52">
        <f t="shared" si="305"/>
        <v>5754.399373371567</v>
      </c>
      <c r="P294" s="50" t="str">
        <f t="shared" si="257"/>
        <v>23.3035714285714</v>
      </c>
      <c r="Q294" s="18" t="str">
        <f t="shared" si="258"/>
        <v>1+13.7134382018804i</v>
      </c>
      <c r="R294" s="18">
        <f t="shared" si="269"/>
        <v>13.749850447070061</v>
      </c>
      <c r="S294" s="18">
        <f t="shared" si="270"/>
        <v>1.4980039956587763</v>
      </c>
      <c r="T294" s="18" t="str">
        <f t="shared" si="259"/>
        <v>1+0.0639960449421086i</v>
      </c>
      <c r="U294" s="18">
        <f t="shared" si="271"/>
        <v>1.0020456545328822</v>
      </c>
      <c r="V294" s="18">
        <f t="shared" si="272"/>
        <v>6.390889386368262E-2</v>
      </c>
      <c r="W294" s="32" t="str">
        <f t="shared" si="260"/>
        <v>1-0.0883812296752284i</v>
      </c>
      <c r="X294" s="18">
        <f t="shared" si="273"/>
        <v>1.0038980235855162</v>
      </c>
      <c r="Y294" s="18">
        <f t="shared" si="274"/>
        <v>-8.815217983493491E-2</v>
      </c>
      <c r="Z294" s="32" t="str">
        <f t="shared" si="261"/>
        <v>0.999867547551407+0.0433772062249555i</v>
      </c>
      <c r="AA294" s="18">
        <f t="shared" si="275"/>
        <v>1.0008080208842991</v>
      </c>
      <c r="AB294" s="18">
        <f t="shared" si="276"/>
        <v>4.3355766359319738E-2</v>
      </c>
      <c r="AC294" s="68" t="str">
        <f t="shared" si="277"/>
        <v>0.00884688796723787-1.70351116595041i</v>
      </c>
      <c r="AD294" s="66">
        <f t="shared" si="278"/>
        <v>4.6270168217657446</v>
      </c>
      <c r="AE294" s="63">
        <f t="shared" si="279"/>
        <v>-89.702447042607346</v>
      </c>
      <c r="AF294" s="51" t="e">
        <f t="shared" si="280"/>
        <v>#NUM!</v>
      </c>
      <c r="AG294" s="51" t="str">
        <f t="shared" si="262"/>
        <v>1-19.1988134826326i</v>
      </c>
      <c r="AH294" s="51">
        <f t="shared" si="281"/>
        <v>19.224839118726461</v>
      </c>
      <c r="AI294" s="51">
        <f t="shared" si="282"/>
        <v>-1.5187568018609707</v>
      </c>
      <c r="AJ294" s="51" t="str">
        <f t="shared" si="263"/>
        <v>1+0.0639960449421086i</v>
      </c>
      <c r="AK294" s="51">
        <f t="shared" si="283"/>
        <v>1.0020456545328822</v>
      </c>
      <c r="AL294" s="51">
        <f t="shared" si="284"/>
        <v>6.390889386368262E-2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-0.000170731707317073</v>
      </c>
      <c r="AT294" s="32" t="str">
        <f t="shared" si="266"/>
        <v>0.00137392638858764i</v>
      </c>
      <c r="AU294" s="32">
        <f t="shared" si="290"/>
        <v>1.3739263885876401E-3</v>
      </c>
      <c r="AV294" s="32">
        <f t="shared" si="291"/>
        <v>1.5707963267948966</v>
      </c>
      <c r="AW294" s="32" t="str">
        <f t="shared" si="267"/>
        <v>1+0.292520726390155i</v>
      </c>
      <c r="AX294" s="32">
        <f t="shared" si="292"/>
        <v>1.0419061259863212</v>
      </c>
      <c r="AY294" s="32">
        <f t="shared" si="293"/>
        <v>0.28458102983267108</v>
      </c>
      <c r="AZ294" s="32" t="str">
        <f t="shared" si="268"/>
        <v>1+5.55789380141295i</v>
      </c>
      <c r="BA294" s="32">
        <f t="shared" si="294"/>
        <v>5.6471394092747955</v>
      </c>
      <c r="BB294" s="32">
        <f t="shared" si="295"/>
        <v>1.3927767402617512</v>
      </c>
      <c r="BC294" s="60" t="str">
        <f t="shared" si="296"/>
        <v>-0.602729826822346+0.300576508738071i</v>
      </c>
      <c r="BD294" s="51">
        <f t="shared" si="297"/>
        <v>-3.432987280487183</v>
      </c>
      <c r="BE294" s="63">
        <f t="shared" si="298"/>
        <v>153.49493708208814</v>
      </c>
      <c r="BF294" s="60" t="str">
        <f t="shared" si="299"/>
        <v>0.506703155605285+1.02941615674161i</v>
      </c>
      <c r="BG294" s="66">
        <f t="shared" si="300"/>
        <v>1.1940295412785427</v>
      </c>
      <c r="BH294" s="63">
        <f t="shared" si="301"/>
        <v>63.792490039480747</v>
      </c>
      <c r="BI294" s="60" t="e">
        <f t="shared" si="255"/>
        <v>#NUM!</v>
      </c>
      <c r="BJ294" s="66" t="e">
        <f t="shared" si="302"/>
        <v>#NUM!</v>
      </c>
      <c r="BK294" s="63" t="e">
        <f t="shared" si="256"/>
        <v>#NUM!</v>
      </c>
      <c r="BL294" s="51">
        <f t="shared" si="303"/>
        <v>1.1940295412785427</v>
      </c>
      <c r="BM294" s="63">
        <f t="shared" si="304"/>
        <v>63.792490039480747</v>
      </c>
    </row>
    <row r="295" spans="14:65" x14ac:dyDescent="0.3">
      <c r="N295" s="11">
        <v>77</v>
      </c>
      <c r="O295" s="52">
        <f t="shared" si="305"/>
        <v>5888.4365535558973</v>
      </c>
      <c r="P295" s="50" t="str">
        <f t="shared" si="257"/>
        <v>23.3035714285714</v>
      </c>
      <c r="Q295" s="18" t="str">
        <f t="shared" si="258"/>
        <v>1+14.0328652120594i</v>
      </c>
      <c r="R295" s="18">
        <f t="shared" si="269"/>
        <v>14.06845073417208</v>
      </c>
      <c r="S295" s="18">
        <f t="shared" si="270"/>
        <v>1.4996553017591931</v>
      </c>
      <c r="T295" s="18" t="str">
        <f t="shared" si="259"/>
        <v>1+0.0654867043229441i</v>
      </c>
      <c r="U295" s="18">
        <f t="shared" si="271"/>
        <v>1.0021419602247381</v>
      </c>
      <c r="V295" s="18">
        <f t="shared" si="272"/>
        <v>6.5393331036590077E-2</v>
      </c>
      <c r="W295" s="32" t="str">
        <f t="shared" si="260"/>
        <v>1-0.0904398929758173i</v>
      </c>
      <c r="X295" s="18">
        <f t="shared" si="273"/>
        <v>1.0040813583776353</v>
      </c>
      <c r="Y295" s="18">
        <f t="shared" si="274"/>
        <v>-9.0194515498339345E-2</v>
      </c>
      <c r="Z295" s="32" t="str">
        <f t="shared" si="261"/>
        <v>0.999861305259819+0.0443875911547141i</v>
      </c>
      <c r="AA295" s="18">
        <f t="shared" si="275"/>
        <v>1.0008460860713733</v>
      </c>
      <c r="AB295" s="18">
        <f t="shared" si="276"/>
        <v>4.4364618965884235E-2</v>
      </c>
      <c r="AC295" s="68" t="str">
        <f t="shared" si="277"/>
        <v>0.00328944486683598-1.66535267509828i</v>
      </c>
      <c r="AD295" s="66">
        <f t="shared" si="278"/>
        <v>4.4301413240410641</v>
      </c>
      <c r="AE295" s="63">
        <f t="shared" si="279"/>
        <v>-89.886828138254543</v>
      </c>
      <c r="AF295" s="51" t="e">
        <f t="shared" si="280"/>
        <v>#NUM!</v>
      </c>
      <c r="AG295" s="51" t="str">
        <f t="shared" si="262"/>
        <v>1-19.6460112968833i</v>
      </c>
      <c r="AH295" s="51">
        <f t="shared" si="281"/>
        <v>19.671445292028402</v>
      </c>
      <c r="AI295" s="51">
        <f t="shared" si="282"/>
        <v>-1.5199393008820621</v>
      </c>
      <c r="AJ295" s="51" t="str">
        <f t="shared" si="263"/>
        <v>1+0.0654867043229441i</v>
      </c>
      <c r="AK295" s="51">
        <f t="shared" si="283"/>
        <v>1.0021419602247381</v>
      </c>
      <c r="AL295" s="51">
        <f t="shared" si="284"/>
        <v>6.5393331036590077E-2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-0.000170731707317073</v>
      </c>
      <c r="AT295" s="32" t="str">
        <f t="shared" si="266"/>
        <v>0.00140592924535134i</v>
      </c>
      <c r="AU295" s="32">
        <f t="shared" si="290"/>
        <v>1.4059292453513399E-3</v>
      </c>
      <c r="AV295" s="32">
        <f t="shared" si="291"/>
        <v>1.5707963267948966</v>
      </c>
      <c r="AW295" s="32" t="str">
        <f t="shared" si="267"/>
        <v>1+0.299334409411922i</v>
      </c>
      <c r="AX295" s="32">
        <f t="shared" si="292"/>
        <v>1.0438395895241683</v>
      </c>
      <c r="AY295" s="32">
        <f t="shared" si="293"/>
        <v>0.29084604910425937</v>
      </c>
      <c r="AZ295" s="32" t="str">
        <f t="shared" si="268"/>
        <v>1+5.68735377882653i</v>
      </c>
      <c r="BA295" s="32">
        <f t="shared" si="294"/>
        <v>5.7745989475921542</v>
      </c>
      <c r="BB295" s="32">
        <f t="shared" si="295"/>
        <v>1.3967467020916757</v>
      </c>
      <c r="BC295" s="60" t="str">
        <f t="shared" si="296"/>
        <v>-0.60049906860422+0.301186946957164i</v>
      </c>
      <c r="BD295" s="51">
        <f t="shared" si="297"/>
        <v>-3.455224371081278</v>
      </c>
      <c r="BE295" s="63">
        <f t="shared" si="298"/>
        <v>153.36343997694078</v>
      </c>
      <c r="BF295" s="60" t="str">
        <f t="shared" si="299"/>
        <v>0.499607179241037+1.00103346815069i</v>
      </c>
      <c r="BG295" s="66">
        <f t="shared" si="300"/>
        <v>0.97491695295978897</v>
      </c>
      <c r="BH295" s="63">
        <f t="shared" si="301"/>
        <v>63.47661183868626</v>
      </c>
      <c r="BI295" s="60" t="e">
        <f t="shared" si="255"/>
        <v>#NUM!</v>
      </c>
      <c r="BJ295" s="66" t="e">
        <f t="shared" si="302"/>
        <v>#NUM!</v>
      </c>
      <c r="BK295" s="63" t="e">
        <f t="shared" si="256"/>
        <v>#NUM!</v>
      </c>
      <c r="BL295" s="51">
        <f t="shared" si="303"/>
        <v>0.97491695295978897</v>
      </c>
      <c r="BM295" s="63">
        <f t="shared" si="304"/>
        <v>63.47661183868626</v>
      </c>
    </row>
    <row r="296" spans="14:65" x14ac:dyDescent="0.3">
      <c r="N296" s="11">
        <v>78</v>
      </c>
      <c r="O296" s="52">
        <f t="shared" si="305"/>
        <v>6025.595860743585</v>
      </c>
      <c r="P296" s="50" t="str">
        <f t="shared" si="257"/>
        <v>23.3035714285714</v>
      </c>
      <c r="Q296" s="18" t="str">
        <f t="shared" si="258"/>
        <v>1+14.3597326331208i</v>
      </c>
      <c r="R296" s="18">
        <f t="shared" si="269"/>
        <v>14.394510109576997</v>
      </c>
      <c r="S296" s="18">
        <f t="shared" si="270"/>
        <v>1.501269395160199</v>
      </c>
      <c r="T296" s="18" t="str">
        <f t="shared" si="259"/>
        <v>1+0.0670120856212304i</v>
      </c>
      <c r="U296" s="18">
        <f t="shared" si="271"/>
        <v>1.0022427947455184</v>
      </c>
      <c r="V296" s="18">
        <f t="shared" si="272"/>
        <v>6.6912046430511699E-2</v>
      </c>
      <c r="W296" s="32" t="str">
        <f t="shared" si="260"/>
        <v>1-0.0925465087047752i</v>
      </c>
      <c r="X296" s="18">
        <f t="shared" si="273"/>
        <v>1.0042732976005302</v>
      </c>
      <c r="Y296" s="18">
        <f t="shared" si="274"/>
        <v>-9.2283642387050932E-2</v>
      </c>
      <c r="Z296" s="32" t="str">
        <f t="shared" si="261"/>
        <v>0.999854768778092+0.0454215109728421i</v>
      </c>
      <c r="AA296" s="18">
        <f t="shared" si="275"/>
        <v>1.0008859437055491</v>
      </c>
      <c r="AB296" s="18">
        <f t="shared" si="276"/>
        <v>4.539689699703231E-2</v>
      </c>
      <c r="AC296" s="68" t="str">
        <f t="shared" si="277"/>
        <v>-0.00202131465949465-1.62804171663956i</v>
      </c>
      <c r="AD296" s="66">
        <f t="shared" si="278"/>
        <v>4.2333172740837686</v>
      </c>
      <c r="AE296" s="63">
        <f t="shared" si="279"/>
        <v>-90.071136223578165</v>
      </c>
      <c r="AF296" s="51" t="e">
        <f t="shared" si="280"/>
        <v>#NUM!</v>
      </c>
      <c r="AG296" s="51" t="str">
        <f t="shared" si="262"/>
        <v>1-20.1036256863692i</v>
      </c>
      <c r="AH296" s="51">
        <f t="shared" si="281"/>
        <v>20.128481456325598</v>
      </c>
      <c r="AI296" s="51">
        <f t="shared" si="282"/>
        <v>-1.5210950205061378</v>
      </c>
      <c r="AJ296" s="51" t="str">
        <f t="shared" si="263"/>
        <v>1+0.0670120856212304i</v>
      </c>
      <c r="AK296" s="51">
        <f t="shared" si="283"/>
        <v>1.0022427947455184</v>
      </c>
      <c r="AL296" s="51">
        <f t="shared" si="284"/>
        <v>6.6912046430511699E-2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-0.000170731707317073</v>
      </c>
      <c r="AT296" s="32" t="str">
        <f t="shared" si="266"/>
        <v>0.0014386775444106i</v>
      </c>
      <c r="AU296" s="32">
        <f t="shared" si="290"/>
        <v>1.4386775444105999E-3</v>
      </c>
      <c r="AV296" s="32">
        <f t="shared" si="291"/>
        <v>1.5707963267948966</v>
      </c>
      <c r="AW296" s="32" t="str">
        <f t="shared" si="267"/>
        <v>1+0.306306803499718i</v>
      </c>
      <c r="AX296" s="32">
        <f t="shared" si="292"/>
        <v>1.0458603433873066</v>
      </c>
      <c r="AY296" s="32">
        <f t="shared" si="293"/>
        <v>0.29723276236389379</v>
      </c>
      <c r="AZ296" s="32" t="str">
        <f t="shared" si="268"/>
        <v>1+5.81982926649465i</v>
      </c>
      <c r="BA296" s="32">
        <f t="shared" si="294"/>
        <v>5.9051175001982523</v>
      </c>
      <c r="BB296" s="32">
        <f t="shared" si="295"/>
        <v>1.4006316593789636</v>
      </c>
      <c r="BC296" s="60" t="str">
        <f t="shared" si="296"/>
        <v>-0.598180807797755+0.301899522439275i</v>
      </c>
      <c r="BD296" s="51">
        <f t="shared" si="297"/>
        <v>-3.4778886781022749</v>
      </c>
      <c r="BE296" s="63">
        <f t="shared" si="298"/>
        <v>153.2200999183537</v>
      </c>
      <c r="BF296" s="60" t="str">
        <f t="shared" si="299"/>
        <v>0.492714128400531+0.973253075257495i</v>
      </c>
      <c r="BG296" s="66">
        <f t="shared" si="300"/>
        <v>0.75542859598149714</v>
      </c>
      <c r="BH296" s="63">
        <f t="shared" si="301"/>
        <v>63.148963694775517</v>
      </c>
      <c r="BI296" s="60" t="e">
        <f t="shared" si="255"/>
        <v>#NUM!</v>
      </c>
      <c r="BJ296" s="66" t="e">
        <f t="shared" si="302"/>
        <v>#NUM!</v>
      </c>
      <c r="BK296" s="63" t="e">
        <f t="shared" si="256"/>
        <v>#NUM!</v>
      </c>
      <c r="BL296" s="51">
        <f t="shared" si="303"/>
        <v>0.75542859598149714</v>
      </c>
      <c r="BM296" s="63">
        <f t="shared" si="304"/>
        <v>63.148963694775517</v>
      </c>
    </row>
    <row r="297" spans="14:65" x14ac:dyDescent="0.3">
      <c r="N297" s="11">
        <v>79</v>
      </c>
      <c r="O297" s="52">
        <f t="shared" si="305"/>
        <v>6165.9500186148289</v>
      </c>
      <c r="P297" s="50" t="str">
        <f t="shared" si="257"/>
        <v>23.3035714285714</v>
      </c>
      <c r="Q297" s="18" t="str">
        <f t="shared" si="258"/>
        <v>1+14.6942137744978i</v>
      </c>
      <c r="R297" s="18">
        <f t="shared" si="269"/>
        <v>14.728201466935495</v>
      </c>
      <c r="S297" s="18">
        <f t="shared" si="270"/>
        <v>1.5028470980150432</v>
      </c>
      <c r="T297" s="18" t="str">
        <f t="shared" si="259"/>
        <v>1+0.068572997614323i</v>
      </c>
      <c r="U297" s="18">
        <f t="shared" si="271"/>
        <v>1.0023483705787195</v>
      </c>
      <c r="V297" s="18">
        <f t="shared" si="272"/>
        <v>6.8465817249382971E-2</v>
      </c>
      <c r="W297" s="32" t="str">
        <f t="shared" si="260"/>
        <v>1-0.0947021938176463i</v>
      </c>
      <c r="X297" s="18">
        <f t="shared" si="273"/>
        <v>1.0044742433302485</v>
      </c>
      <c r="Y297" s="18">
        <f t="shared" si="274"/>
        <v>-9.4420595200348331E-2</v>
      </c>
      <c r="Z297" s="32" t="str">
        <f t="shared" si="261"/>
        <v>0.999847924241472+0.0464795138773128i</v>
      </c>
      <c r="AA297" s="18">
        <f t="shared" si="275"/>
        <v>1.0009276781167815</v>
      </c>
      <c r="AB297" s="18">
        <f t="shared" si="276"/>
        <v>4.6453140837425487E-2</v>
      </c>
      <c r="AC297" s="68" t="str">
        <f t="shared" si="277"/>
        <v>-0.00709632346819345-1.59156084629573i</v>
      </c>
      <c r="AD297" s="66">
        <f t="shared" si="278"/>
        <v>4.036551269761687</v>
      </c>
      <c r="AE297" s="63">
        <f t="shared" si="279"/>
        <v>-90.255464119646348</v>
      </c>
      <c r="AF297" s="51" t="e">
        <f t="shared" si="280"/>
        <v>#NUM!</v>
      </c>
      <c r="AG297" s="51" t="str">
        <f t="shared" si="262"/>
        <v>1-20.5718992842969i</v>
      </c>
      <c r="AH297" s="51">
        <f t="shared" si="281"/>
        <v>20.596189942881558</v>
      </c>
      <c r="AI297" s="51">
        <f t="shared" si="282"/>
        <v>-1.5222245611545824</v>
      </c>
      <c r="AJ297" s="51" t="str">
        <f t="shared" si="263"/>
        <v>1+0.068572997614323i</v>
      </c>
      <c r="AK297" s="51">
        <f t="shared" si="283"/>
        <v>1.0023483705787195</v>
      </c>
      <c r="AL297" s="51">
        <f t="shared" si="284"/>
        <v>6.8465817249382971E-2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-0.000170731707317073</v>
      </c>
      <c r="AT297" s="32" t="str">
        <f t="shared" si="266"/>
        <v>0.00147218864934705i</v>
      </c>
      <c r="AU297" s="32">
        <f t="shared" si="290"/>
        <v>1.47218864934705E-3</v>
      </c>
      <c r="AV297" s="32">
        <f t="shared" si="291"/>
        <v>1.5707963267948966</v>
      </c>
      <c r="AW297" s="32" t="str">
        <f t="shared" si="267"/>
        <v>1+0.31344160550918i</v>
      </c>
      <c r="AX297" s="32">
        <f t="shared" si="292"/>
        <v>1.0479721561492807</v>
      </c>
      <c r="AY297" s="32">
        <f t="shared" si="293"/>
        <v>0.30374247104181185</v>
      </c>
      <c r="AZ297" s="32" t="str">
        <f t="shared" si="268"/>
        <v>1+5.95539050467443i</v>
      </c>
      <c r="BA297" s="32">
        <f t="shared" si="294"/>
        <v>6.0387644483922669</v>
      </c>
      <c r="BB297" s="32">
        <f t="shared" si="295"/>
        <v>1.404433202663373</v>
      </c>
      <c r="BC297" s="60" t="str">
        <f t="shared" si="296"/>
        <v>-0.595772398286991+0.302711208529885i</v>
      </c>
      <c r="BD297" s="51">
        <f t="shared" si="297"/>
        <v>-3.5010187200780463</v>
      </c>
      <c r="BE297" s="63">
        <f t="shared" si="298"/>
        <v>153.06493347108227</v>
      </c>
      <c r="BF297" s="60" t="str">
        <f t="shared" si="299"/>
        <v>0.486011100882693+0.946059885764104i</v>
      </c>
      <c r="BG297" s="66">
        <f t="shared" si="300"/>
        <v>0.5355325496836395</v>
      </c>
      <c r="BH297" s="63">
        <f t="shared" si="301"/>
        <v>62.809469351435922</v>
      </c>
      <c r="BI297" s="60" t="e">
        <f t="shared" si="255"/>
        <v>#NUM!</v>
      </c>
      <c r="BJ297" s="66" t="e">
        <f t="shared" si="302"/>
        <v>#NUM!</v>
      </c>
      <c r="BK297" s="63" t="e">
        <f t="shared" si="256"/>
        <v>#NUM!</v>
      </c>
      <c r="BL297" s="51">
        <f t="shared" si="303"/>
        <v>0.5355325496836395</v>
      </c>
      <c r="BM297" s="63">
        <f t="shared" si="304"/>
        <v>62.809469351435922</v>
      </c>
    </row>
    <row r="298" spans="14:65" x14ac:dyDescent="0.3">
      <c r="N298" s="11">
        <v>80</v>
      </c>
      <c r="O298" s="52">
        <f t="shared" si="305"/>
        <v>6309.5734448019384</v>
      </c>
      <c r="P298" s="50" t="str">
        <f t="shared" si="257"/>
        <v>23.3035714285714</v>
      </c>
      <c r="Q298" s="18" t="str">
        <f t="shared" si="258"/>
        <v>1+15.0364859825189i</v>
      </c>
      <c r="R298" s="18">
        <f t="shared" si="269"/>
        <v>15.06970174563808</v>
      </c>
      <c r="S298" s="18">
        <f t="shared" si="270"/>
        <v>1.504389215407939</v>
      </c>
      <c r="T298" s="18" t="str">
        <f t="shared" si="259"/>
        <v>1+0.0701702679184215i</v>
      </c>
      <c r="U298" s="18">
        <f t="shared" si="271"/>
        <v>1.0024589101303569</v>
      </c>
      <c r="V298" s="18">
        <f t="shared" si="272"/>
        <v>7.0055437297225936E-2</v>
      </c>
      <c r="W298" s="32" t="str">
        <f t="shared" si="260"/>
        <v>1-0.0969080912872111i</v>
      </c>
      <c r="X298" s="18">
        <f t="shared" si="273"/>
        <v>1.0046846162636962</v>
      </c>
      <c r="Y298" s="18">
        <f t="shared" si="274"/>
        <v>-9.6606428867521396E-2</v>
      </c>
      <c r="Z298" s="32" t="str">
        <f t="shared" si="261"/>
        <v>0.999840757131779+0.0475621608352702i</v>
      </c>
      <c r="AA298" s="18">
        <f t="shared" si="275"/>
        <v>1.0009713775953684</v>
      </c>
      <c r="AB298" s="18">
        <f t="shared" si="276"/>
        <v>4.7533903083976099E-2</v>
      </c>
      <c r="AC298" s="68" t="str">
        <f t="shared" si="277"/>
        <v>-0.0119460432524574-1.55589290585836i</v>
      </c>
      <c r="AD298" s="66">
        <f t="shared" si="278"/>
        <v>3.8398500244875757</v>
      </c>
      <c r="AE298" s="63">
        <f t="shared" si="279"/>
        <v>-90.43990457723325</v>
      </c>
      <c r="AF298" s="51" t="e">
        <f t="shared" si="280"/>
        <v>#NUM!</v>
      </c>
      <c r="AG298" s="51" t="str">
        <f t="shared" si="262"/>
        <v>1-21.0510803755265i</v>
      </c>
      <c r="AH298" s="51">
        <f t="shared" si="281"/>
        <v>21.074818741257943</v>
      </c>
      <c r="AI298" s="51">
        <f t="shared" si="282"/>
        <v>-1.5233285101891452</v>
      </c>
      <c r="AJ298" s="51" t="str">
        <f t="shared" si="263"/>
        <v>1+0.0701702679184215i</v>
      </c>
      <c r="AK298" s="51">
        <f t="shared" si="283"/>
        <v>1.0024589101303569</v>
      </c>
      <c r="AL298" s="51">
        <f t="shared" si="284"/>
        <v>7.0055437297225936E-2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-0.000170731707317073</v>
      </c>
      <c r="AT298" s="32" t="str">
        <f t="shared" si="266"/>
        <v>0.0015064803281921i</v>
      </c>
      <c r="AU298" s="32">
        <f t="shared" si="290"/>
        <v>1.5064803281920999E-3</v>
      </c>
      <c r="AV298" s="32">
        <f t="shared" si="291"/>
        <v>1.5707963267948966</v>
      </c>
      <c r="AW298" s="32" t="str">
        <f t="shared" si="267"/>
        <v>1+0.320742598406772i</v>
      </c>
      <c r="AX298" s="32">
        <f t="shared" si="292"/>
        <v>1.0501789440056051</v>
      </c>
      <c r="AY298" s="32">
        <f t="shared" si="293"/>
        <v>0.31037641901248264</v>
      </c>
      <c r="AZ298" s="32" t="str">
        <f t="shared" si="268"/>
        <v>1+6.09410936972868i</v>
      </c>
      <c r="BA298" s="32">
        <f t="shared" si="294"/>
        <v>6.1756108208188527</v>
      </c>
      <c r="BB298" s="32">
        <f t="shared" si="295"/>
        <v>1.408152907841699</v>
      </c>
      <c r="BC298" s="60" t="str">
        <f t="shared" si="296"/>
        <v>-0.593271182781182+0.303618861968366i</v>
      </c>
      <c r="BD298" s="51">
        <f t="shared" si="297"/>
        <v>-3.5246533730363998</v>
      </c>
      <c r="BE298" s="63">
        <f t="shared" si="298"/>
        <v>152.89795965860449</v>
      </c>
      <c r="BF298" s="60" t="str">
        <f t="shared" si="299"/>
        <v>0.47948567663131+0.919439380482103i</v>
      </c>
      <c r="BG298" s="66">
        <f t="shared" si="300"/>
        <v>0.31519665145117509</v>
      </c>
      <c r="BH298" s="63">
        <f t="shared" si="301"/>
        <v>62.458055081371214</v>
      </c>
      <c r="BI298" s="60" t="e">
        <f t="shared" si="255"/>
        <v>#NUM!</v>
      </c>
      <c r="BJ298" s="66" t="e">
        <f t="shared" si="302"/>
        <v>#NUM!</v>
      </c>
      <c r="BK298" s="63" t="e">
        <f t="shared" si="256"/>
        <v>#NUM!</v>
      </c>
      <c r="BL298" s="51">
        <f t="shared" si="303"/>
        <v>0.31519665145117509</v>
      </c>
      <c r="BM298" s="63">
        <f t="shared" si="304"/>
        <v>62.458055081371214</v>
      </c>
    </row>
    <row r="299" spans="14:65" x14ac:dyDescent="0.3">
      <c r="N299" s="11">
        <v>81</v>
      </c>
      <c r="O299" s="52">
        <f t="shared" si="305"/>
        <v>6456.5422903465615</v>
      </c>
      <c r="P299" s="50" t="str">
        <f t="shared" si="257"/>
        <v>23.3035714285714</v>
      </c>
      <c r="Q299" s="18" t="str">
        <f t="shared" si="258"/>
        <v>1+15.3867307344394i</v>
      </c>
      <c r="R299" s="18">
        <f t="shared" si="269"/>
        <v>15.419192024686055</v>
      </c>
      <c r="S299" s="18">
        <f t="shared" si="270"/>
        <v>1.5058965356346385</v>
      </c>
      <c r="T299" s="18" t="str">
        <f t="shared" si="259"/>
        <v>1+0.0718047434273839i</v>
      </c>
      <c r="U299" s="18">
        <f t="shared" si="271"/>
        <v>1.00257464618784</v>
      </c>
      <c r="V299" s="18">
        <f t="shared" si="272"/>
        <v>7.1681717259192423E-2</v>
      </c>
      <c r="W299" s="32" t="str">
        <f t="shared" si="260"/>
        <v>1-0.099165370709507i</v>
      </c>
      <c r="X299" s="18">
        <f t="shared" si="273"/>
        <v>1.0049048565650152</v>
      </c>
      <c r="Y299" s="18">
        <f t="shared" si="274"/>
        <v>-9.8842218751500316E-2</v>
      </c>
      <c r="Z299" s="32" t="str">
        <f t="shared" si="261"/>
        <v>0.999833252246612+0.0486700258804622i</v>
      </c>
      <c r="AA299" s="18">
        <f t="shared" si="275"/>
        <v>1.0010171345772469</v>
      </c>
      <c r="AB299" s="18">
        <f t="shared" si="276"/>
        <v>4.8639748803679002E-2</v>
      </c>
      <c r="AC299" s="68" t="str">
        <f t="shared" si="277"/>
        <v>-0.0165804842205642-1.52102102408278i</v>
      </c>
      <c r="AD299" s="66">
        <f t="shared" si="278"/>
        <v>3.6432203802474645</v>
      </c>
      <c r="AE299" s="63">
        <f t="shared" si="279"/>
        <v>-90.62455030323207</v>
      </c>
      <c r="AF299" s="51" t="e">
        <f t="shared" si="280"/>
        <v>#NUM!</v>
      </c>
      <c r="AG299" s="51" t="str">
        <f t="shared" si="262"/>
        <v>1-21.5414230282152i</v>
      </c>
      <c r="AH299" s="51">
        <f t="shared" si="281"/>
        <v>21.564621630822089</v>
      </c>
      <c r="AI299" s="51">
        <f t="shared" si="282"/>
        <v>-1.5244074421690066</v>
      </c>
      <c r="AJ299" s="51" t="str">
        <f t="shared" si="263"/>
        <v>1+0.0718047434273839i</v>
      </c>
      <c r="AK299" s="51">
        <f t="shared" si="283"/>
        <v>1.00257464618784</v>
      </c>
      <c r="AL299" s="51">
        <f t="shared" si="284"/>
        <v>7.1681717259192423E-2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-0.000170731707317073</v>
      </c>
      <c r="AT299" s="32" t="str">
        <f t="shared" si="266"/>
        <v>0.00154157076284779i</v>
      </c>
      <c r="AU299" s="32">
        <f t="shared" si="290"/>
        <v>1.5415707628477901E-3</v>
      </c>
      <c r="AV299" s="32">
        <f t="shared" si="291"/>
        <v>1.5707963267948966</v>
      </c>
      <c r="AW299" s="32" t="str">
        <f t="shared" si="267"/>
        <v>1+0.328213653275571i</v>
      </c>
      <c r="AX299" s="32">
        <f t="shared" si="292"/>
        <v>1.0524847752801447</v>
      </c>
      <c r="AY299" s="32">
        <f t="shared" si="293"/>
        <v>0.31713578721397656</v>
      </c>
      <c r="AZ299" s="32" t="str">
        <f t="shared" si="268"/>
        <v>1+6.23605941223585i</v>
      </c>
      <c r="BA299" s="32">
        <f t="shared" si="294"/>
        <v>6.3157293318298038</v>
      </c>
      <c r="BB299" s="32">
        <f t="shared" si="295"/>
        <v>1.4117923352099566</v>
      </c>
      <c r="BC299" s="60" t="str">
        <f t="shared" si="296"/>
        <v>-0.590674499656006+0.304619216295286i</v>
      </c>
      <c r="BD299" s="51">
        <f t="shared" si="297"/>
        <v>-3.5488318884603478</v>
      </c>
      <c r="BE299" s="63">
        <f t="shared" si="298"/>
        <v>152.71920021652952</v>
      </c>
      <c r="BF299" s="60" t="str">
        <f t="shared" si="299"/>
        <v>0.473125901545786+0.893377598257297i</v>
      </c>
      <c r="BG299" s="66">
        <f t="shared" si="300"/>
        <v>9.438849178711492E-2</v>
      </c>
      <c r="BH299" s="63">
        <f t="shared" si="301"/>
        <v>62.09464991329741</v>
      </c>
      <c r="BI299" s="60" t="e">
        <f t="shared" si="255"/>
        <v>#NUM!</v>
      </c>
      <c r="BJ299" s="66" t="e">
        <f t="shared" si="302"/>
        <v>#NUM!</v>
      </c>
      <c r="BK299" s="63" t="e">
        <f t="shared" si="256"/>
        <v>#NUM!</v>
      </c>
      <c r="BL299" s="51">
        <f t="shared" si="303"/>
        <v>9.438849178711492E-2</v>
      </c>
      <c r="BM299" s="63">
        <f t="shared" si="304"/>
        <v>62.09464991329741</v>
      </c>
    </row>
    <row r="300" spans="14:65" x14ac:dyDescent="0.3">
      <c r="N300" s="11">
        <v>82</v>
      </c>
      <c r="O300" s="52">
        <f t="shared" si="305"/>
        <v>6606.9344800759654</v>
      </c>
      <c r="P300" s="50" t="str">
        <f t="shared" si="257"/>
        <v>23.3035714285714</v>
      </c>
      <c r="Q300" s="18" t="str">
        <f t="shared" si="258"/>
        <v>1+15.7451337346627i</v>
      </c>
      <c r="R300" s="18">
        <f t="shared" si="269"/>
        <v>15.776857618753278</v>
      </c>
      <c r="S300" s="18">
        <f t="shared" si="270"/>
        <v>1.5073698304836245</v>
      </c>
      <c r="T300" s="18" t="str">
        <f t="shared" si="259"/>
        <v>1+0.0734772907617594i</v>
      </c>
      <c r="U300" s="18">
        <f t="shared" si="271"/>
        <v>1.0026958223996389</v>
      </c>
      <c r="V300" s="18">
        <f t="shared" si="272"/>
        <v>7.3345484981824832E-2</v>
      </c>
      <c r="W300" s="32" t="str">
        <f t="shared" si="260"/>
        <v>1-0.101475228923961i</v>
      </c>
      <c r="X300" s="18">
        <f t="shared" si="273"/>
        <v>1.0051354247489093</v>
      </c>
      <c r="Y300" s="18">
        <f t="shared" si="274"/>
        <v>-0.10112906083919324</v>
      </c>
      <c r="Z300" s="32" t="str">
        <f t="shared" si="261"/>
        <v>0.999825393667104+0.0498036964175998i</v>
      </c>
      <c r="AA300" s="18">
        <f t="shared" si="275"/>
        <v>1.0010650458378996</v>
      </c>
      <c r="AB300" s="18">
        <f t="shared" si="276"/>
        <v>4.9771255795564816E-2</v>
      </c>
      <c r="AC300" s="68" t="str">
        <f t="shared" si="277"/>
        <v>-0.0210092240327594-1.48692861709315i</v>
      </c>
      <c r="AD300" s="66">
        <f t="shared" si="278"/>
        <v>3.4466693208305572</v>
      </c>
      <c r="AE300" s="63">
        <f t="shared" si="279"/>
        <v>-90.809493986622698</v>
      </c>
      <c r="AF300" s="51" t="e">
        <f t="shared" si="280"/>
        <v>#NUM!</v>
      </c>
      <c r="AG300" s="51" t="str">
        <f t="shared" si="262"/>
        <v>1-22.0431872285279i</v>
      </c>
      <c r="AH300" s="51">
        <f t="shared" si="281"/>
        <v>22.065858315323599</v>
      </c>
      <c r="AI300" s="51">
        <f t="shared" si="282"/>
        <v>-1.5254619191046417</v>
      </c>
      <c r="AJ300" s="51" t="str">
        <f t="shared" si="263"/>
        <v>1+0.0734772907617594i</v>
      </c>
      <c r="AK300" s="51">
        <f t="shared" si="283"/>
        <v>1.0026958223996389</v>
      </c>
      <c r="AL300" s="51">
        <f t="shared" si="284"/>
        <v>7.3345484981824832E-2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-0.000170731707317073</v>
      </c>
      <c r="AT300" s="32" t="str">
        <f t="shared" si="266"/>
        <v>0.00157747855872704i</v>
      </c>
      <c r="AU300" s="32">
        <f t="shared" si="290"/>
        <v>1.5774785587270401E-3</v>
      </c>
      <c r="AV300" s="32">
        <f t="shared" si="291"/>
        <v>1.5707963267948966</v>
      </c>
      <c r="AW300" s="32" t="str">
        <f t="shared" si="267"/>
        <v>1+0.335858731367756i</v>
      </c>
      <c r="AX300" s="32">
        <f t="shared" si="292"/>
        <v>1.0548938749637133</v>
      </c>
      <c r="AY300" s="32">
        <f t="shared" si="293"/>
        <v>0.32402168806483339</v>
      </c>
      <c r="AZ300" s="32" t="str">
        <f t="shared" si="268"/>
        <v>1+6.38131589598737i</v>
      </c>
      <c r="BA300" s="32">
        <f t="shared" si="294"/>
        <v>6.4591944206983811</v>
      </c>
      <c r="BB300" s="32">
        <f t="shared" si="295"/>
        <v>1.4153530285984275</v>
      </c>
      <c r="BC300" s="60" t="str">
        <f t="shared" si="296"/>
        <v>-0.587979690419666+0.30570887544421i</v>
      </c>
      <c r="BD300" s="51">
        <f t="shared" si="297"/>
        <v>-3.5735939087430739</v>
      </c>
      <c r="BE300" s="63">
        <f t="shared" si="298"/>
        <v>152.52867986292935</v>
      </c>
      <c r="BF300" s="60" t="str">
        <f t="shared" si="299"/>
        <v>0.4669202724401+0.867861121701562i</v>
      </c>
      <c r="BG300" s="66">
        <f t="shared" si="300"/>
        <v>-0.1269245879125189</v>
      </c>
      <c r="BH300" s="63">
        <f t="shared" si="301"/>
        <v>61.719185876306653</v>
      </c>
      <c r="BI300" s="60" t="e">
        <f t="shared" si="255"/>
        <v>#NUM!</v>
      </c>
      <c r="BJ300" s="66" t="e">
        <f t="shared" si="302"/>
        <v>#NUM!</v>
      </c>
      <c r="BK300" s="63" t="e">
        <f t="shared" si="256"/>
        <v>#NUM!</v>
      </c>
      <c r="BL300" s="51">
        <f t="shared" si="303"/>
        <v>-0.1269245879125189</v>
      </c>
      <c r="BM300" s="63">
        <f t="shared" si="304"/>
        <v>61.719185876306653</v>
      </c>
    </row>
    <row r="301" spans="14:65" x14ac:dyDescent="0.3">
      <c r="N301" s="11">
        <v>83</v>
      </c>
      <c r="O301" s="52">
        <f t="shared" si="305"/>
        <v>6760.8297539198229</v>
      </c>
      <c r="P301" s="50" t="str">
        <f t="shared" si="257"/>
        <v>23.3035714285714</v>
      </c>
      <c r="Q301" s="18" t="str">
        <f t="shared" si="258"/>
        <v>1+16.1118850132037i</v>
      </c>
      <c r="R301" s="18">
        <f t="shared" si="269"/>
        <v>16.142888176491155</v>
      </c>
      <c r="S301" s="18">
        <f t="shared" si="270"/>
        <v>1.5088098555174643</v>
      </c>
      <c r="T301" s="18" t="str">
        <f t="shared" si="259"/>
        <v>1+0.0751887967282838i</v>
      </c>
      <c r="U301" s="18">
        <f t="shared" si="271"/>
        <v>1.0028226937766453</v>
      </c>
      <c r="V301" s="18">
        <f t="shared" si="272"/>
        <v>7.50475857520259E-2</v>
      </c>
      <c r="W301" s="32" t="str">
        <f t="shared" si="260"/>
        <v>1-0.103838890647975i</v>
      </c>
      <c r="X301" s="18">
        <f t="shared" si="273"/>
        <v>1.0053768026023886</v>
      </c>
      <c r="Y301" s="18">
        <f t="shared" si="274"/>
        <v>-0.10346807191707537</v>
      </c>
      <c r="Z301" s="32" t="str">
        <f t="shared" si="261"/>
        <v>0.999817164724154+0.050963773533808i</v>
      </c>
      <c r="AA301" s="18">
        <f t="shared" si="275"/>
        <v>1.0011152126952481</v>
      </c>
      <c r="AB301" s="18">
        <f t="shared" si="276"/>
        <v>5.0929014856743296E-2</v>
      </c>
      <c r="AC301" s="68" t="str">
        <f t="shared" si="277"/>
        <v>-0.025241426018394-1.45359938833871i</v>
      </c>
      <c r="AD301" s="66">
        <f t="shared" si="278"/>
        <v>3.2502039852781635</v>
      </c>
      <c r="AE301" s="63">
        <f t="shared" si="279"/>
        <v>-90.99482832391196</v>
      </c>
      <c r="AF301" s="51" t="e">
        <f t="shared" si="280"/>
        <v>#NUM!</v>
      </c>
      <c r="AG301" s="51" t="str">
        <f t="shared" si="262"/>
        <v>1-22.5566390184852i</v>
      </c>
      <c r="AH301" s="51">
        <f t="shared" si="281"/>
        <v>22.57879456061038</v>
      </c>
      <c r="AI301" s="51">
        <f t="shared" si="282"/>
        <v>-1.5264924907083774</v>
      </c>
      <c r="AJ301" s="51" t="str">
        <f t="shared" si="263"/>
        <v>1+0.0751887967282838i</v>
      </c>
      <c r="AK301" s="51">
        <f t="shared" si="283"/>
        <v>1.0028226937766453</v>
      </c>
      <c r="AL301" s="51">
        <f t="shared" si="284"/>
        <v>7.50475857520259E-2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-0.000170731707317073</v>
      </c>
      <c r="AT301" s="32" t="str">
        <f t="shared" si="266"/>
        <v>0.00161422275461852i</v>
      </c>
      <c r="AU301" s="32">
        <f t="shared" si="290"/>
        <v>1.61422275461852E-3</v>
      </c>
      <c r="AV301" s="32">
        <f t="shared" si="291"/>
        <v>1.5707963267948966</v>
      </c>
      <c r="AW301" s="32" t="str">
        <f t="shared" si="267"/>
        <v>1+0.343681886204929i</v>
      </c>
      <c r="AX301" s="32">
        <f t="shared" si="292"/>
        <v>1.057410629275769</v>
      </c>
      <c r="AY301" s="32">
        <f t="shared" si="293"/>
        <v>0.33103515968525327</v>
      </c>
      <c r="AZ301" s="32" t="str">
        <f t="shared" si="268"/>
        <v>1+6.52995583789366i</v>
      </c>
      <c r="BA301" s="32">
        <f t="shared" si="294"/>
        <v>6.606082291709777</v>
      </c>
      <c r="BB301" s="32">
        <f t="shared" si="295"/>
        <v>1.4188365145942339</v>
      </c>
      <c r="BC301" s="60" t="str">
        <f t="shared" si="296"/>
        <v>-0.585184107822019+0.306884307569568i</v>
      </c>
      <c r="BD301" s="51">
        <f t="shared" si="297"/>
        <v>-3.5989794799331771</v>
      </c>
      <c r="BE301" s="63">
        <f t="shared" si="298"/>
        <v>152.32642658489718</v>
      </c>
      <c r="BF301" s="60" t="str">
        <f t="shared" si="299"/>
        <v>0.460857723138602+0.842877063649897i</v>
      </c>
      <c r="BG301" s="66">
        <f t="shared" si="300"/>
        <v>-0.34877549465501456</v>
      </c>
      <c r="BH301" s="63">
        <f t="shared" si="301"/>
        <v>61.331598260985196</v>
      </c>
      <c r="BI301" s="60" t="e">
        <f t="shared" si="255"/>
        <v>#NUM!</v>
      </c>
      <c r="BJ301" s="66" t="e">
        <f t="shared" si="302"/>
        <v>#NUM!</v>
      </c>
      <c r="BK301" s="63" t="e">
        <f t="shared" si="256"/>
        <v>#NUM!</v>
      </c>
      <c r="BL301" s="51">
        <f t="shared" si="303"/>
        <v>-0.34877549465501456</v>
      </c>
      <c r="BM301" s="63">
        <f t="shared" si="304"/>
        <v>61.331598260985196</v>
      </c>
    </row>
    <row r="302" spans="14:65" x14ac:dyDescent="0.3">
      <c r="N302" s="11">
        <v>84</v>
      </c>
      <c r="O302" s="52">
        <f t="shared" si="305"/>
        <v>6918.3097091893687</v>
      </c>
      <c r="P302" s="50" t="str">
        <f t="shared" si="257"/>
        <v>23.3035714285714</v>
      </c>
      <c r="Q302" s="18" t="str">
        <f t="shared" si="258"/>
        <v>1+16.4871790264446i</v>
      </c>
      <c r="R302" s="18">
        <f t="shared" si="269"/>
        <v>16.517477781127322</v>
      </c>
      <c r="S302" s="18">
        <f t="shared" si="270"/>
        <v>1.5102173503538971</v>
      </c>
      <c r="T302" s="18" t="str">
        <f t="shared" si="259"/>
        <v>1+0.0769401687900749i</v>
      </c>
      <c r="U302" s="18">
        <f t="shared" si="271"/>
        <v>1.0029555272161599</v>
      </c>
      <c r="V302" s="18">
        <f t="shared" si="272"/>
        <v>7.6788882574172213E-2</v>
      </c>
      <c r="W302" s="32" t="str">
        <f t="shared" si="260"/>
        <v>1-0.10625760912628i</v>
      </c>
      <c r="X302" s="18">
        <f t="shared" si="273"/>
        <v>1.0056294941464443</v>
      </c>
      <c r="Y302" s="18">
        <f t="shared" si="274"/>
        <v>-0.10586038973043978</v>
      </c>
      <c r="Z302" s="32" t="str">
        <f t="shared" si="261"/>
        <v>0.999808547963071+0.0521508723173291i</v>
      </c>
      <c r="AA302" s="18">
        <f t="shared" si="275"/>
        <v>1.0011677412219606</v>
      </c>
      <c r="AB302" s="18">
        <f t="shared" si="276"/>
        <v>5.2113630052486509E-2</v>
      </c>
      <c r="AC302" s="68" t="str">
        <f t="shared" si="277"/>
        <v>-0.0292858566949642-1.4210173281386i</v>
      </c>
      <c r="AD302" s="66">
        <f t="shared" si="278"/>
        <v>3.0538316815700366</v>
      </c>
      <c r="AE302" s="63">
        <f t="shared" si="279"/>
        <v>-91.180646043960394</v>
      </c>
      <c r="AF302" s="51" t="e">
        <f t="shared" si="280"/>
        <v>#NUM!</v>
      </c>
      <c r="AG302" s="51" t="str">
        <f t="shared" si="262"/>
        <v>1-23.0820506370225i</v>
      </c>
      <c r="AH302" s="51">
        <f t="shared" si="281"/>
        <v>23.103702335558058</v>
      </c>
      <c r="AI302" s="51">
        <f t="shared" si="282"/>
        <v>-1.5274996946415573</v>
      </c>
      <c r="AJ302" s="51" t="str">
        <f t="shared" si="263"/>
        <v>1+0.0769401687900749i</v>
      </c>
      <c r="AK302" s="51">
        <f t="shared" si="283"/>
        <v>1.0029555272161599</v>
      </c>
      <c r="AL302" s="51">
        <f t="shared" si="284"/>
        <v>7.6788882574172213E-2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-0.000170731707317073</v>
      </c>
      <c r="AT302" s="32" t="str">
        <f t="shared" si="266"/>
        <v>0.00165182283278127i</v>
      </c>
      <c r="AU302" s="32">
        <f t="shared" si="290"/>
        <v>1.65182283278127E-3</v>
      </c>
      <c r="AV302" s="32">
        <f t="shared" si="291"/>
        <v>1.5707963267948966</v>
      </c>
      <c r="AW302" s="32" t="str">
        <f t="shared" si="267"/>
        <v>1+0.351687265727335i</v>
      </c>
      <c r="AX302" s="32">
        <f t="shared" si="292"/>
        <v>1.0600395902393311</v>
      </c>
      <c r="AY302" s="32">
        <f t="shared" si="293"/>
        <v>0.33817715993125658</v>
      </c>
      <c r="AZ302" s="32" t="str">
        <f t="shared" si="268"/>
        <v>1+6.68205804881938i</v>
      </c>
      <c r="BA302" s="32">
        <f t="shared" si="294"/>
        <v>6.7564709551504665</v>
      </c>
      <c r="BB302" s="32">
        <f t="shared" si="295"/>
        <v>1.4222443018462625</v>
      </c>
      <c r="BC302" s="60" t="str">
        <f t="shared" si="296"/>
        <v>-0.582285124621589+0.308141839166425i</v>
      </c>
      <c r="BD302" s="51">
        <f t="shared" si="297"/>
        <v>-3.6250290615590979</v>
      </c>
      <c r="BE302" s="63">
        <f t="shared" si="298"/>
        <v>152.11247194053948</v>
      </c>
      <c r="BF302" s="60" t="str">
        <f t="shared" si="299"/>
        <v>0.454927611695265+0.818413054261071i</v>
      </c>
      <c r="BG302" s="66">
        <f t="shared" si="300"/>
        <v>-0.57119737998906306</v>
      </c>
      <c r="BH302" s="63">
        <f t="shared" si="301"/>
        <v>60.931825896579056</v>
      </c>
      <c r="BI302" s="60" t="e">
        <f t="shared" si="255"/>
        <v>#NUM!</v>
      </c>
      <c r="BJ302" s="66" t="e">
        <f t="shared" si="302"/>
        <v>#NUM!</v>
      </c>
      <c r="BK302" s="63" t="e">
        <f t="shared" si="256"/>
        <v>#NUM!</v>
      </c>
      <c r="BL302" s="51">
        <f t="shared" si="303"/>
        <v>-0.57119737998906306</v>
      </c>
      <c r="BM302" s="63">
        <f t="shared" si="304"/>
        <v>60.931825896579056</v>
      </c>
    </row>
    <row r="303" spans="14:65" x14ac:dyDescent="0.3">
      <c r="N303" s="11">
        <v>85</v>
      </c>
      <c r="O303" s="52">
        <f t="shared" si="305"/>
        <v>7079.4578438413828</v>
      </c>
      <c r="P303" s="50" t="str">
        <f t="shared" si="257"/>
        <v>23.3035714285714</v>
      </c>
      <c r="Q303" s="18" t="str">
        <f t="shared" si="258"/>
        <v>1+16.871214760239i</v>
      </c>
      <c r="R303" s="18">
        <f t="shared" si="269"/>
        <v>16.900825053413996</v>
      </c>
      <c r="S303" s="18">
        <f t="shared" si="270"/>
        <v>1.5115930389462744</v>
      </c>
      <c r="T303" s="18" t="str">
        <f t="shared" si="259"/>
        <v>1+0.0787323355477819i</v>
      </c>
      <c r="U303" s="18">
        <f t="shared" si="271"/>
        <v>1.003094602049482</v>
      </c>
      <c r="V303" s="18">
        <f t="shared" si="272"/>
        <v>7.8570256444769906E-2</v>
      </c>
      <c r="W303" s="32" t="str">
        <f t="shared" si="260"/>
        <v>1-0.10873266679543i</v>
      </c>
      <c r="X303" s="18">
        <f t="shared" si="273"/>
        <v>1.0058940266392111</v>
      </c>
      <c r="Y303" s="18">
        <f t="shared" si="274"/>
        <v>-0.10830717312465822</v>
      </c>
      <c r="Z303" s="32" t="str">
        <f t="shared" si="261"/>
        <v>0.999799525106549+0.0533656221836512i</v>
      </c>
      <c r="AA303" s="18">
        <f t="shared" si="275"/>
        <v>1.0012227424675935</v>
      </c>
      <c r="AB303" s="18">
        <f t="shared" si="276"/>
        <v>5.3325718990299233E-2</v>
      </c>
      <c r="AC303" s="68" t="str">
        <f t="shared" si="277"/>
        <v>-0.0331509026107379-1.38916671284991i</v>
      </c>
      <c r="AD303" s="66">
        <f t="shared" si="278"/>
        <v>2.8575599005645436</v>
      </c>
      <c r="AE303" s="63">
        <f t="shared" si="279"/>
        <v>-91.367039932110345</v>
      </c>
      <c r="AF303" s="51" t="e">
        <f t="shared" si="280"/>
        <v>#NUM!</v>
      </c>
      <c r="AG303" s="51" t="str">
        <f t="shared" si="262"/>
        <v>1-23.6197006643346i</v>
      </c>
      <c r="AH303" s="51">
        <f t="shared" si="281"/>
        <v>23.640859956286882</v>
      </c>
      <c r="AI303" s="51">
        <f t="shared" si="282"/>
        <v>-1.5284840567582409</v>
      </c>
      <c r="AJ303" s="51" t="str">
        <f t="shared" si="263"/>
        <v>1+0.0787323355477819i</v>
      </c>
      <c r="AK303" s="51">
        <f t="shared" si="283"/>
        <v>1.003094602049482</v>
      </c>
      <c r="AL303" s="51">
        <f t="shared" si="284"/>
        <v>7.8570256444769906E-2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-0.000170731707317073</v>
      </c>
      <c r="AT303" s="32" t="str">
        <f t="shared" si="266"/>
        <v>0.00169029872927442i</v>
      </c>
      <c r="AU303" s="32">
        <f t="shared" si="290"/>
        <v>1.69029872927442E-3</v>
      </c>
      <c r="AV303" s="32">
        <f t="shared" si="291"/>
        <v>1.5707963267948966</v>
      </c>
      <c r="AW303" s="32" t="str">
        <f t="shared" si="267"/>
        <v>1+0.359879114493161i</v>
      </c>
      <c r="AX303" s="32">
        <f t="shared" si="292"/>
        <v>1.0627854802585428</v>
      </c>
      <c r="AY303" s="32">
        <f t="shared" si="293"/>
        <v>0.34544856025259396</v>
      </c>
      <c r="AZ303" s="32" t="str">
        <f t="shared" si="268"/>
        <v>1+6.83770317537008i</v>
      </c>
      <c r="BA303" s="32">
        <f t="shared" si="294"/>
        <v>6.9104402692206284</v>
      </c>
      <c r="BB303" s="32">
        <f t="shared" si="295"/>
        <v>1.4255778804474881</v>
      </c>
      <c r="BC303" s="60" t="str">
        <f t="shared" si="296"/>
        <v>-0.579280143021532+0.30947764954225i</v>
      </c>
      <c r="BD303" s="51">
        <f t="shared" si="297"/>
        <v>-3.6517835333195201</v>
      </c>
      <c r="BE303" s="63">
        <f t="shared" si="298"/>
        <v>151.88685137550218</v>
      </c>
      <c r="BF303" s="60" t="str">
        <f t="shared" si="299"/>
        <v>0.449119708720765+0.794457228680272i</v>
      </c>
      <c r="BG303" s="66">
        <f t="shared" si="300"/>
        <v>-0.79422363275497443</v>
      </c>
      <c r="BH303" s="63">
        <f t="shared" si="301"/>
        <v>60.519811443391831</v>
      </c>
      <c r="BI303" s="60" t="e">
        <f t="shared" si="255"/>
        <v>#NUM!</v>
      </c>
      <c r="BJ303" s="66" t="e">
        <f t="shared" si="302"/>
        <v>#NUM!</v>
      </c>
      <c r="BK303" s="63" t="e">
        <f t="shared" si="256"/>
        <v>#NUM!</v>
      </c>
      <c r="BL303" s="51">
        <f t="shared" si="303"/>
        <v>-0.79422363275497443</v>
      </c>
      <c r="BM303" s="63">
        <f t="shared" si="304"/>
        <v>60.519811443391831</v>
      </c>
    </row>
    <row r="304" spans="14:65" x14ac:dyDescent="0.3">
      <c r="N304" s="11">
        <v>86</v>
      </c>
      <c r="O304" s="52">
        <f t="shared" si="305"/>
        <v>7244.3596007499036</v>
      </c>
      <c r="P304" s="50" t="str">
        <f t="shared" si="257"/>
        <v>23.3035714285714</v>
      </c>
      <c r="Q304" s="18" t="str">
        <f t="shared" si="258"/>
        <v>1+17.2641958354162i</v>
      </c>
      <c r="R304" s="18">
        <f t="shared" si="269"/>
        <v>17.293133256978102</v>
      </c>
      <c r="S304" s="18">
        <f t="shared" si="270"/>
        <v>1.5129376298629926</v>
      </c>
      <c r="T304" s="18" t="str">
        <f t="shared" si="259"/>
        <v>1+0.0805662472319423i</v>
      </c>
      <c r="U304" s="18">
        <f t="shared" si="271"/>
        <v>1.0032402106141074</v>
      </c>
      <c r="V304" s="18">
        <f t="shared" si="272"/>
        <v>8.0392606623994597E-2</v>
      </c>
      <c r="W304" s="32" t="str">
        <f t="shared" si="260"/>
        <v>1-0.111265375963762i</v>
      </c>
      <c r="X304" s="18">
        <f t="shared" si="273"/>
        <v>1.0061709516222168</v>
      </c>
      <c r="Y304" s="18">
        <f t="shared" si="274"/>
        <v>-0.1108096021666362</v>
      </c>
      <c r="Z304" s="32" t="str">
        <f t="shared" si="261"/>
        <v>0.9997900770159+0.0546086672092327i</v>
      </c>
      <c r="AA304" s="18">
        <f t="shared" si="275"/>
        <v>1.001280332691014</v>
      </c>
      <c r="AB304" s="18">
        <f t="shared" si="276"/>
        <v>5.4565913097906024E-2</v>
      </c>
      <c r="AC304" s="68" t="str">
        <f t="shared" si="277"/>
        <v>-0.0368445865324247-1.35803210369167i</v>
      </c>
      <c r="AD304" s="66">
        <f t="shared" si="278"/>
        <v>2.6613963302109713</v>
      </c>
      <c r="AE304" s="63">
        <f t="shared" si="279"/>
        <v>-91.554102853524611</v>
      </c>
      <c r="AF304" s="51" t="e">
        <f t="shared" si="280"/>
        <v>#NUM!</v>
      </c>
      <c r="AG304" s="51" t="str">
        <f t="shared" si="262"/>
        <v>1-24.1698741695827i</v>
      </c>
      <c r="AH304" s="51">
        <f t="shared" si="281"/>
        <v>24.190552233743261</v>
      </c>
      <c r="AI304" s="51">
        <f t="shared" si="282"/>
        <v>-1.5294460913453765</v>
      </c>
      <c r="AJ304" s="51" t="str">
        <f t="shared" si="263"/>
        <v>1+0.0805662472319423i</v>
      </c>
      <c r="AK304" s="51">
        <f t="shared" si="283"/>
        <v>1.0032402106141074</v>
      </c>
      <c r="AL304" s="51">
        <f t="shared" si="284"/>
        <v>8.0392606623994597E-2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-0.000170731707317073</v>
      </c>
      <c r="AT304" s="32" t="str">
        <f t="shared" si="266"/>
        <v>0.00172967084452757i</v>
      </c>
      <c r="AU304" s="32">
        <f t="shared" si="290"/>
        <v>1.72967084452757E-3</v>
      </c>
      <c r="AV304" s="32">
        <f t="shared" si="291"/>
        <v>1.5707963267948966</v>
      </c>
      <c r="AW304" s="32" t="str">
        <f t="shared" si="267"/>
        <v>1+0.368261775929056i</v>
      </c>
      <c r="AX304" s="32">
        <f t="shared" si="292"/>
        <v>1.0656531966875633</v>
      </c>
      <c r="AY304" s="32">
        <f t="shared" si="293"/>
        <v>0.35285013938732784</v>
      </c>
      <c r="AZ304" s="32" t="str">
        <f t="shared" si="268"/>
        <v>1+6.99697374265207i</v>
      </c>
      <c r="BA304" s="32">
        <f t="shared" si="294"/>
        <v>7.0680719828933913</v>
      </c>
      <c r="BB304" s="32">
        <f t="shared" si="295"/>
        <v>1.4288387213899252</v>
      </c>
      <c r="BC304" s="60" t="str">
        <f t="shared" si="296"/>
        <v>-0.576166604781111+0.310887765704929i</v>
      </c>
      <c r="BD304" s="51">
        <f t="shared" si="297"/>
        <v>-3.6792841984267088</v>
      </c>
      <c r="BE304" s="63">
        <f t="shared" si="298"/>
        <v>151.649604553015</v>
      </c>
      <c r="BF304" s="60" t="str">
        <f t="shared" si="299"/>
        <v>0.443424186799219+0.770998215182392i</v>
      </c>
      <c r="BG304" s="66">
        <f t="shared" si="300"/>
        <v>-1.0178878682157353</v>
      </c>
      <c r="BH304" s="63">
        <f t="shared" si="301"/>
        <v>60.09550169949037</v>
      </c>
      <c r="BI304" s="60" t="e">
        <f t="shared" si="255"/>
        <v>#NUM!</v>
      </c>
      <c r="BJ304" s="66" t="e">
        <f t="shared" si="302"/>
        <v>#NUM!</v>
      </c>
      <c r="BK304" s="63" t="e">
        <f t="shared" si="256"/>
        <v>#NUM!</v>
      </c>
      <c r="BL304" s="51">
        <f t="shared" si="303"/>
        <v>-1.0178878682157353</v>
      </c>
      <c r="BM304" s="63">
        <f t="shared" si="304"/>
        <v>60.09550169949037</v>
      </c>
    </row>
    <row r="305" spans="14:65" x14ac:dyDescent="0.3">
      <c r="N305" s="11">
        <v>87</v>
      </c>
      <c r="O305" s="52">
        <f t="shared" si="305"/>
        <v>7413.1024130091773</v>
      </c>
      <c r="P305" s="50" t="str">
        <f t="shared" si="257"/>
        <v>23.3035714285714</v>
      </c>
      <c r="Q305" s="18" t="str">
        <f t="shared" si="258"/>
        <v>1+17.666330615744i</v>
      </c>
      <c r="R305" s="18">
        <f t="shared" si="269"/>
        <v>17.6946104061314</v>
      </c>
      <c r="S305" s="18">
        <f t="shared" si="270"/>
        <v>1.5142518165656038</v>
      </c>
      <c r="T305" s="18" t="str">
        <f t="shared" si="259"/>
        <v>1+0.0824428762068052i</v>
      </c>
      <c r="U305" s="18">
        <f t="shared" si="271"/>
        <v>1.0033926588515836</v>
      </c>
      <c r="V305" s="18">
        <f t="shared" si="272"/>
        <v>8.2256850903403192E-2</v>
      </c>
      <c r="W305" s="32" t="str">
        <f t="shared" si="260"/>
        <v>1-0.113857079507201i</v>
      </c>
      <c r="X305" s="18">
        <f t="shared" si="273"/>
        <v>1.0064608460113633</v>
      </c>
      <c r="Y305" s="18">
        <f t="shared" si="274"/>
        <v>-0.11336887824457095</v>
      </c>
      <c r="Z305" s="32" t="str">
        <f t="shared" si="261"/>
        <v>0.999780183650457+0.0558806664729996i</v>
      </c>
      <c r="AA305" s="18">
        <f t="shared" si="275"/>
        <v>1.0013406336035746</v>
      </c>
      <c r="AB305" s="18">
        <f t="shared" si="276"/>
        <v>5.5834857905074274E-2</v>
      </c>
      <c r="AC305" s="68" t="str">
        <f t="shared" si="277"/>
        <v>-0.0403745829992446-1.32759834525506i</v>
      </c>
      <c r="AD305" s="66">
        <f t="shared" si="278"/>
        <v>2.4653488700503026</v>
      </c>
      <c r="AE305" s="63">
        <f t="shared" si="279"/>
        <v>-91.741927775645152</v>
      </c>
      <c r="AF305" s="51" t="e">
        <f t="shared" si="280"/>
        <v>#NUM!</v>
      </c>
      <c r="AG305" s="51" t="str">
        <f t="shared" si="262"/>
        <v>1-24.7328628620416i</v>
      </c>
      <c r="AH305" s="51">
        <f t="shared" si="281"/>
        <v>24.753070624723641</v>
      </c>
      <c r="AI305" s="51">
        <f t="shared" si="282"/>
        <v>-1.5303863013593915</v>
      </c>
      <c r="AJ305" s="51" t="str">
        <f t="shared" si="263"/>
        <v>1+0.0824428762068052i</v>
      </c>
      <c r="AK305" s="51">
        <f t="shared" si="283"/>
        <v>1.0033926588515836</v>
      </c>
      <c r="AL305" s="51">
        <f t="shared" si="284"/>
        <v>8.2256850903403192E-2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-0.000170731707317073</v>
      </c>
      <c r="AT305" s="32" t="str">
        <f t="shared" si="266"/>
        <v>0.0017699600541574i</v>
      </c>
      <c r="AU305" s="32">
        <f t="shared" si="290"/>
        <v>1.7699600541574E-3</v>
      </c>
      <c r="AV305" s="32">
        <f t="shared" si="291"/>
        <v>1.5707963267948966</v>
      </c>
      <c r="AW305" s="32" t="str">
        <f t="shared" si="267"/>
        <v>1+0.376839694633068i</v>
      </c>
      <c r="AX305" s="32">
        <f t="shared" si="292"/>
        <v>1.0686478163787843</v>
      </c>
      <c r="AY305" s="32">
        <f t="shared" si="293"/>
        <v>0.36038257690837755</v>
      </c>
      <c r="AZ305" s="32" t="str">
        <f t="shared" si="268"/>
        <v>1+7.1599541980283i</v>
      </c>
      <c r="BA305" s="32">
        <f t="shared" si="294"/>
        <v>7.2294497797455568</v>
      </c>
      <c r="BB305" s="32">
        <f t="shared" si="295"/>
        <v>1.4320282760876508</v>
      </c>
      <c r="BC305" s="60" t="str">
        <f t="shared" si="296"/>
        <v>-0.572942002004166+0.312368057735197i</v>
      </c>
      <c r="BD305" s="51">
        <f t="shared" si="297"/>
        <v>-3.7075727833901384</v>
      </c>
      <c r="BE305" s="63">
        <f t="shared" si="298"/>
        <v>151.40077569631859</v>
      </c>
      <c r="BF305" s="60" t="str">
        <f t="shared" si="299"/>
        <v>0.437831610973455+0.74802512371451i</v>
      </c>
      <c r="BG305" s="66">
        <f t="shared" si="300"/>
        <v>-1.2422239133398318</v>
      </c>
      <c r="BH305" s="63">
        <f t="shared" si="301"/>
        <v>59.658847920673459</v>
      </c>
      <c r="BI305" s="60" t="e">
        <f t="shared" si="255"/>
        <v>#NUM!</v>
      </c>
      <c r="BJ305" s="66" t="e">
        <f t="shared" si="302"/>
        <v>#NUM!</v>
      </c>
      <c r="BK305" s="63" t="e">
        <f t="shared" si="256"/>
        <v>#NUM!</v>
      </c>
      <c r="BL305" s="51">
        <f t="shared" si="303"/>
        <v>-1.2422239133398318</v>
      </c>
      <c r="BM305" s="63">
        <f t="shared" si="304"/>
        <v>59.658847920673459</v>
      </c>
    </row>
    <row r="306" spans="14:65" x14ac:dyDescent="0.3">
      <c r="N306" s="11">
        <v>88</v>
      </c>
      <c r="O306" s="52">
        <f t="shared" si="305"/>
        <v>7585.7757502918394</v>
      </c>
      <c r="P306" s="50" t="str">
        <f t="shared" si="257"/>
        <v>23.3035714285714</v>
      </c>
      <c r="Q306" s="18" t="str">
        <f t="shared" si="258"/>
        <v>1+18.0778323184057i</v>
      </c>
      <c r="R306" s="18">
        <f t="shared" si="269"/>
        <v>18.10546937619662</v>
      </c>
      <c r="S306" s="18">
        <f t="shared" si="270"/>
        <v>1.515536277685303</v>
      </c>
      <c r="T306" s="18" t="str">
        <f t="shared" si="259"/>
        <v>1+0.0843632174858935i</v>
      </c>
      <c r="U306" s="18">
        <f t="shared" si="271"/>
        <v>1.0035522669321075</v>
      </c>
      <c r="V306" s="18">
        <f t="shared" si="272"/>
        <v>8.4163925869056064E-2</v>
      </c>
      <c r="W306" s="32" t="str">
        <f t="shared" si="260"/>
        <v>1-0.116509151581272i</v>
      </c>
      <c r="X306" s="18">
        <f t="shared" si="273"/>
        <v>1.0067643132343278</v>
      </c>
      <c r="Y306" s="18">
        <f t="shared" si="274"/>
        <v>-0.11598622414397169</v>
      </c>
      <c r="Z306" s="32" t="str">
        <f t="shared" si="261"/>
        <v>0.999769824025065+0.0571822944057986i</v>
      </c>
      <c r="AA306" s="18">
        <f t="shared" si="275"/>
        <v>1.0014037726235212</v>
      </c>
      <c r="AB306" s="18">
        <f t="shared" si="276"/>
        <v>5.7133213329180373E-2</v>
      </c>
      <c r="AC306" s="68" t="str">
        <f t="shared" si="277"/>
        <v>-0.0437482332644452-1.29785056372809i</v>
      </c>
      <c r="AD306" s="66">
        <f t="shared" si="278"/>
        <v>2.2694256460206228</v>
      </c>
      <c r="AE306" s="63">
        <f t="shared" si="279"/>
        <v>-91.930607789676344</v>
      </c>
      <c r="AF306" s="51" t="e">
        <f t="shared" si="280"/>
        <v>#NUM!</v>
      </c>
      <c r="AG306" s="51" t="str">
        <f t="shared" si="262"/>
        <v>1-25.3089652457681i</v>
      </c>
      <c r="AH306" s="51">
        <f t="shared" si="281"/>
        <v>25.328713386421693</v>
      </c>
      <c r="AI306" s="51">
        <f t="shared" si="282"/>
        <v>-1.5313051786591634</v>
      </c>
      <c r="AJ306" s="51" t="str">
        <f t="shared" si="263"/>
        <v>1+0.0843632174858935i</v>
      </c>
      <c r="AK306" s="51">
        <f t="shared" si="283"/>
        <v>1.0035522669321075</v>
      </c>
      <c r="AL306" s="51">
        <f t="shared" si="284"/>
        <v>8.4163925869056064E-2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-0.000170731707317073</v>
      </c>
      <c r="AT306" s="32" t="str">
        <f t="shared" si="266"/>
        <v>0.00181118772003613i</v>
      </c>
      <c r="AU306" s="32">
        <f t="shared" si="290"/>
        <v>1.81118772003613E-3</v>
      </c>
      <c r="AV306" s="32">
        <f t="shared" si="291"/>
        <v>1.5707963267948966</v>
      </c>
      <c r="AW306" s="32" t="str">
        <f t="shared" si="267"/>
        <v>1+0.385617418731238i</v>
      </c>
      <c r="AX306" s="32">
        <f t="shared" si="292"/>
        <v>1.0717746001977015</v>
      </c>
      <c r="AY306" s="32">
        <f t="shared" si="293"/>
        <v>0.36804644663981023</v>
      </c>
      <c r="AZ306" s="32" t="str">
        <f t="shared" si="268"/>
        <v>1+7.32673095589353i</v>
      </c>
      <c r="BA306" s="32">
        <f t="shared" si="294"/>
        <v>7.3946593227848245</v>
      </c>
      <c r="BB306" s="32">
        <f t="shared" si="295"/>
        <v>1.4351479759635353</v>
      </c>
      <c r="BC306" s="60" t="str">
        <f t="shared" si="296"/>
        <v>-0.569603888600272+0.313914234715418i</v>
      </c>
      <c r="BD306" s="51">
        <f t="shared" si="297"/>
        <v>-3.7366914340297344</v>
      </c>
      <c r="BE306" s="63">
        <f t="shared" si="298"/>
        <v>151.14041394220513</v>
      </c>
      <c r="BF306" s="60" t="str">
        <f t="shared" si="299"/>
        <v>0.432332930274497+0.725527534756215i</v>
      </c>
      <c r="BG306" s="66">
        <f t="shared" si="300"/>
        <v>-1.4672657880091113</v>
      </c>
      <c r="BH306" s="63">
        <f t="shared" si="301"/>
        <v>59.209806152528756</v>
      </c>
      <c r="BI306" s="60" t="e">
        <f t="shared" ref="BI306:BI369" si="306">IMPRODUCT(AP306,BC306)</f>
        <v>#NUM!</v>
      </c>
      <c r="BJ306" s="66" t="e">
        <f t="shared" si="302"/>
        <v>#NUM!</v>
      </c>
      <c r="BK306" s="63" t="e">
        <f t="shared" ref="BK306:BK369" si="307">(180/PI())*IMARGUMENT(BI306)</f>
        <v>#NUM!</v>
      </c>
      <c r="BL306" s="51">
        <f t="shared" si="303"/>
        <v>-1.4672657880091113</v>
      </c>
      <c r="BM306" s="63">
        <f t="shared" si="304"/>
        <v>59.209806152528756</v>
      </c>
    </row>
    <row r="307" spans="14:65" x14ac:dyDescent="0.3">
      <c r="N307" s="11">
        <v>89</v>
      </c>
      <c r="O307" s="52">
        <f t="shared" si="305"/>
        <v>7762.4711662869322</v>
      </c>
      <c r="P307" s="50" t="str">
        <f t="shared" si="257"/>
        <v>23.3035714285714</v>
      </c>
      <c r="Q307" s="18" t="str">
        <f t="shared" si="258"/>
        <v>1+18.4989191270511i</v>
      </c>
      <c r="R307" s="18">
        <f t="shared" si="269"/>
        <v>18.525928016409246</v>
      </c>
      <c r="S307" s="18">
        <f t="shared" si="270"/>
        <v>1.5167916772975323</v>
      </c>
      <c r="T307" s="18" t="str">
        <f t="shared" si="259"/>
        <v>1+0.086328289259572i</v>
      </c>
      <c r="U307" s="18">
        <f t="shared" si="271"/>
        <v>1.0037193699069897</v>
      </c>
      <c r="V307" s="18">
        <f t="shared" si="272"/>
        <v>8.6114787159214973E-2</v>
      </c>
      <c r="W307" s="32" t="str">
        <f t="shared" si="260"/>
        <v>1-0.119222998349691i</v>
      </c>
      <c r="X307" s="18">
        <f t="shared" si="273"/>
        <v>1.0070819844161103</v>
      </c>
      <c r="Y307" s="18">
        <f t="shared" si="274"/>
        <v>-0.118662884097772</v>
      </c>
      <c r="Z307" s="32" t="str">
        <f t="shared" si="261"/>
        <v>0.99975897616557+0.0585142411479887i</v>
      </c>
      <c r="AA307" s="18">
        <f t="shared" si="275"/>
        <v>1.0014698831421511</v>
      </c>
      <c r="AB307" s="18">
        <f t="shared" si="276"/>
        <v>5.8461653964407154E-2</v>
      </c>
      <c r="AC307" s="68" t="str">
        <f t="shared" si="277"/>
        <v>-0.0469725596450489-1.26877416486131i</v>
      </c>
      <c r="AD307" s="66">
        <f t="shared" si="278"/>
        <v>2.0736350255842559</v>
      </c>
      <c r="AE307" s="63">
        <f t="shared" si="279"/>
        <v>-92.120236130994499</v>
      </c>
      <c r="AF307" s="51" t="e">
        <f t="shared" si="280"/>
        <v>#NUM!</v>
      </c>
      <c r="AG307" s="51" t="str">
        <f t="shared" si="262"/>
        <v>1-25.8984867778717i</v>
      </c>
      <c r="AH307" s="51">
        <f t="shared" si="281"/>
        <v>25.917785734579937</v>
      </c>
      <c r="AI307" s="51">
        <f t="shared" si="282"/>
        <v>-1.532203204235334</v>
      </c>
      <c r="AJ307" s="51" t="str">
        <f t="shared" si="263"/>
        <v>1+0.086328289259572i</v>
      </c>
      <c r="AK307" s="51">
        <f t="shared" si="283"/>
        <v>1.0037193699069897</v>
      </c>
      <c r="AL307" s="51">
        <f t="shared" si="284"/>
        <v>8.6114787159214973E-2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-0.000170731707317073</v>
      </c>
      <c r="AT307" s="32" t="str">
        <f t="shared" si="266"/>
        <v>0.00185337570161793i</v>
      </c>
      <c r="AU307" s="32">
        <f t="shared" si="290"/>
        <v>1.85337570161793E-3</v>
      </c>
      <c r="AV307" s="32">
        <f t="shared" si="291"/>
        <v>1.5707963267948966</v>
      </c>
      <c r="AW307" s="32" t="str">
        <f t="shared" si="267"/>
        <v>1+0.394599602289069i</v>
      </c>
      <c r="AX307" s="32">
        <f t="shared" si="292"/>
        <v>1.0750389974911103</v>
      </c>
      <c r="AY307" s="32">
        <f t="shared" si="293"/>
        <v>0.3758422099632191</v>
      </c>
      <c r="AZ307" s="32" t="str">
        <f t="shared" si="268"/>
        <v>1+7.49739244349232i</v>
      </c>
      <c r="BA307" s="32">
        <f t="shared" si="294"/>
        <v>7.5637883002987154</v>
      </c>
      <c r="BB307" s="32">
        <f t="shared" si="295"/>
        <v>1.4381992320955166</v>
      </c>
      <c r="BC307" s="60" t="str">
        <f t="shared" si="296"/>
        <v>-0.566149892407708+0.315521841289912i</v>
      </c>
      <c r="BD307" s="51">
        <f t="shared" si="297"/>
        <v>-3.7666827075133638</v>
      </c>
      <c r="BE307" s="63">
        <f t="shared" si="298"/>
        <v>150.86857370426677</v>
      </c>
      <c r="BF307" s="60" t="str">
        <f t="shared" si="299"/>
        <v>0.42691947026727+0.703495488416604i</v>
      </c>
      <c r="BG307" s="66">
        <f t="shared" si="300"/>
        <v>-1.6930476819291096</v>
      </c>
      <c r="BH307" s="63">
        <f t="shared" si="301"/>
        <v>58.748337573272259</v>
      </c>
      <c r="BI307" s="60" t="e">
        <f t="shared" si="306"/>
        <v>#NUM!</v>
      </c>
      <c r="BJ307" s="66" t="e">
        <f t="shared" si="302"/>
        <v>#NUM!</v>
      </c>
      <c r="BK307" s="63" t="e">
        <f t="shared" si="307"/>
        <v>#NUM!</v>
      </c>
      <c r="BL307" s="51">
        <f t="shared" si="303"/>
        <v>-1.6930476819291096</v>
      </c>
      <c r="BM307" s="63">
        <f t="shared" si="304"/>
        <v>58.748337573272259</v>
      </c>
    </row>
    <row r="308" spans="14:65" x14ac:dyDescent="0.3">
      <c r="N308" s="11">
        <v>90</v>
      </c>
      <c r="O308" s="52">
        <f t="shared" si="305"/>
        <v>7943.2823472428154</v>
      </c>
      <c r="P308" s="50" t="str">
        <f t="shared" si="257"/>
        <v>23.3035714285714</v>
      </c>
      <c r="Q308" s="18" t="str">
        <f t="shared" si="258"/>
        <v>1+18.9298143074798i</v>
      </c>
      <c r="R308" s="18">
        <f t="shared" si="269"/>
        <v>18.956209265453545</v>
      </c>
      <c r="S308" s="18">
        <f t="shared" si="270"/>
        <v>1.5180186651944527</v>
      </c>
      <c r="T308" s="18" t="str">
        <f t="shared" si="259"/>
        <v>1+0.0883391334349058i</v>
      </c>
      <c r="U308" s="18">
        <f t="shared" si="271"/>
        <v>1.0038943183901532</v>
      </c>
      <c r="V308" s="18">
        <f t="shared" si="272"/>
        <v>8.8110409715729754E-2</v>
      </c>
      <c r="W308" s="32" t="str">
        <f t="shared" si="260"/>
        <v>1-0.122000058729939i</v>
      </c>
      <c r="X308" s="18">
        <f t="shared" si="273"/>
        <v>1.0074145196144975</v>
      </c>
      <c r="Y308" s="18">
        <f t="shared" si="274"/>
        <v>-0.1214001238082504</v>
      </c>
      <c r="Z308" s="32" t="str">
        <f t="shared" si="261"/>
        <v>0.999747617062208+0.0598772129153629i</v>
      </c>
      <c r="AA308" s="18">
        <f t="shared" si="275"/>
        <v>1.0015391048022413</v>
      </c>
      <c r="AB308" s="18">
        <f t="shared" si="276"/>
        <v>5.9820869374449442E-2</v>
      </c>
      <c r="AC308" s="68" t="str">
        <f t="shared" si="277"/>
        <v>-0.0500542793002904-1.24035483169908i</v>
      </c>
      <c r="AD308" s="66">
        <f t="shared" si="278"/>
        <v>1.8779856331920133</v>
      </c>
      <c r="AE308" s="63">
        <f t="shared" si="279"/>
        <v>-92.310906198382852</v>
      </c>
      <c r="AF308" s="51" t="e">
        <f t="shared" si="280"/>
        <v>#NUM!</v>
      </c>
      <c r="AG308" s="51" t="str">
        <f t="shared" si="262"/>
        <v>1-26.5017400304718i</v>
      </c>
      <c r="AH308" s="51">
        <f t="shared" si="281"/>
        <v>26.520600005330035</v>
      </c>
      <c r="AI308" s="51">
        <f t="shared" si="282"/>
        <v>-1.5330808484359437</v>
      </c>
      <c r="AJ308" s="51" t="str">
        <f t="shared" si="263"/>
        <v>1+0.0883391334349058i</v>
      </c>
      <c r="AK308" s="51">
        <f t="shared" si="283"/>
        <v>1.0038943183901532</v>
      </c>
      <c r="AL308" s="51">
        <f t="shared" si="284"/>
        <v>8.8110409715729754E-2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-0.000170731707317073</v>
      </c>
      <c r="AT308" s="32" t="str">
        <f t="shared" si="266"/>
        <v>0.00189654636752905i</v>
      </c>
      <c r="AU308" s="32">
        <f t="shared" si="290"/>
        <v>1.89654636752905E-3</v>
      </c>
      <c r="AV308" s="32">
        <f t="shared" si="291"/>
        <v>1.5707963267948966</v>
      </c>
      <c r="AW308" s="32" t="str">
        <f t="shared" si="267"/>
        <v>1+0.403791007779176i</v>
      </c>
      <c r="AX308" s="32">
        <f t="shared" si="292"/>
        <v>1.0784466504947394</v>
      </c>
      <c r="AY308" s="32">
        <f t="shared" si="293"/>
        <v>0.38377020903729403</v>
      </c>
      <c r="AZ308" s="32" t="str">
        <f t="shared" si="268"/>
        <v>1+7.67202914780436i</v>
      </c>
      <c r="BA308" s="32">
        <f t="shared" si="294"/>
        <v>7.7369264727512892</v>
      </c>
      <c r="BB308" s="32">
        <f t="shared" si="295"/>
        <v>1.4411834349184505</v>
      </c>
      <c r="BC308" s="60" t="str">
        <f t="shared" si="296"/>
        <v>-0.562577727960317+0.317186254935i</v>
      </c>
      <c r="BD308" s="51">
        <f t="shared" si="297"/>
        <v>-3.7975895602168568</v>
      </c>
      <c r="BE308" s="63">
        <f t="shared" si="298"/>
        <v>150.58531504430391</v>
      </c>
      <c r="BF308" s="60" t="str">
        <f t="shared" si="299"/>
        <v>0.421582926580612+0.68191947368714i</v>
      </c>
      <c r="BG308" s="66">
        <f t="shared" si="300"/>
        <v>-1.9196039270248462</v>
      </c>
      <c r="BH308" s="63">
        <f t="shared" si="301"/>
        <v>58.274408845921023</v>
      </c>
      <c r="BI308" s="60" t="e">
        <f t="shared" si="306"/>
        <v>#NUM!</v>
      </c>
      <c r="BJ308" s="66" t="e">
        <f t="shared" si="302"/>
        <v>#NUM!</v>
      </c>
      <c r="BK308" s="63" t="e">
        <f t="shared" si="307"/>
        <v>#NUM!</v>
      </c>
      <c r="BL308" s="51">
        <f t="shared" si="303"/>
        <v>-1.9196039270248462</v>
      </c>
      <c r="BM308" s="63">
        <f t="shared" si="304"/>
        <v>58.274408845921023</v>
      </c>
    </row>
    <row r="309" spans="14:65" x14ac:dyDescent="0.3">
      <c r="N309" s="11">
        <v>91</v>
      </c>
      <c r="O309" s="52">
        <f t="shared" si="305"/>
        <v>8128.3051616410066</v>
      </c>
      <c r="P309" s="50" t="str">
        <f t="shared" si="257"/>
        <v>23.3035714285714</v>
      </c>
      <c r="Q309" s="18" t="str">
        <f t="shared" si="258"/>
        <v>1+19.3707463260201i</v>
      </c>
      <c r="R309" s="18">
        <f t="shared" si="269"/>
        <v>19.396541269696026</v>
      </c>
      <c r="S309" s="18">
        <f t="shared" si="270"/>
        <v>1.5192178771550748</v>
      </c>
      <c r="T309" s="18" t="str">
        <f t="shared" si="259"/>
        <v>1+0.0903968161880939i</v>
      </c>
      <c r="U309" s="18">
        <f t="shared" si="271"/>
        <v>1.0040774792698739</v>
      </c>
      <c r="V309" s="18">
        <f t="shared" si="272"/>
        <v>9.0151788028150992E-2</v>
      </c>
      <c r="W309" s="32" t="str">
        <f t="shared" si="260"/>
        <v>1-0.124841805156187i</v>
      </c>
      <c r="X309" s="18">
        <f t="shared" si="273"/>
        <v>1.0077626091072518</v>
      </c>
      <c r="Y309" s="18">
        <f t="shared" si="274"/>
        <v>-0.12419923043828787</v>
      </c>
      <c r="Z309" s="32" t="str">
        <f t="shared" si="261"/>
        <v>0.999735722620797+0.0612719323735937i</v>
      </c>
      <c r="AA309" s="18">
        <f t="shared" si="275"/>
        <v>1.0016115837893058</v>
      </c>
      <c r="AB309" s="18">
        <f t="shared" si="276"/>
        <v>6.1211564388585028E-2</v>
      </c>
      <c r="AC309" s="68" t="str">
        <f t="shared" si="277"/>
        <v>-0.0529998174587927-1.21257852209909i</v>
      </c>
      <c r="AD309" s="66">
        <f t="shared" si="278"/>
        <v>1.6824863660983231</v>
      </c>
      <c r="AE309" s="63">
        <f t="shared" si="279"/>
        <v>-92.502711571984946</v>
      </c>
      <c r="AF309" s="51" t="e">
        <f t="shared" si="280"/>
        <v>#NUM!</v>
      </c>
      <c r="AG309" s="51" t="str">
        <f t="shared" si="262"/>
        <v>1-27.1190448564282i</v>
      </c>
      <c r="AH309" s="51">
        <f t="shared" si="281"/>
        <v>27.137475820808479</v>
      </c>
      <c r="AI309" s="51">
        <f t="shared" si="282"/>
        <v>-1.5339385711883702</v>
      </c>
      <c r="AJ309" s="51" t="str">
        <f t="shared" si="263"/>
        <v>1+0.0903968161880939i</v>
      </c>
      <c r="AK309" s="51">
        <f t="shared" si="283"/>
        <v>1.0040774792698739</v>
      </c>
      <c r="AL309" s="51">
        <f t="shared" si="284"/>
        <v>9.0151788028150992E-2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-0.000170731707317073</v>
      </c>
      <c r="AT309" s="32" t="str">
        <f t="shared" si="266"/>
        <v>0.001940722607428i</v>
      </c>
      <c r="AU309" s="32">
        <f t="shared" si="290"/>
        <v>1.940722607428E-3</v>
      </c>
      <c r="AV309" s="32">
        <f t="shared" si="291"/>
        <v>1.5707963267948966</v>
      </c>
      <c r="AW309" s="32" t="str">
        <f t="shared" si="267"/>
        <v>1+0.413196508606416i</v>
      </c>
      <c r="AX309" s="32">
        <f t="shared" si="292"/>
        <v>1.0820033986658877</v>
      </c>
      <c r="AY309" s="32">
        <f t="shared" si="293"/>
        <v>0.39183065995646144</v>
      </c>
      <c r="AZ309" s="32" t="str">
        <f t="shared" si="268"/>
        <v>1+7.85073366352191i</v>
      </c>
      <c r="BA309" s="32">
        <f t="shared" si="294"/>
        <v>7.9141657207539042</v>
      </c>
      <c r="BB309" s="32">
        <f t="shared" si="295"/>
        <v>1.4441019539777618</v>
      </c>
      <c r="BC309" s="60" t="str">
        <f t="shared" si="296"/>
        <v>-0.558885209872267+0.318902684019218i</v>
      </c>
      <c r="BD309" s="51">
        <f t="shared" si="297"/>
        <v>-3.829455331215347</v>
      </c>
      <c r="BE309" s="63">
        <f t="shared" si="298"/>
        <v>150.29070405019016</v>
      </c>
      <c r="BF309" s="60" t="str">
        <f t="shared" si="299"/>
        <v>0.416315359385106+0.660790417769816i</v>
      </c>
      <c r="BG309" s="66">
        <f t="shared" si="300"/>
        <v>-2.1469689651170198</v>
      </c>
      <c r="BH309" s="63">
        <f t="shared" si="301"/>
        <v>57.787992478205233</v>
      </c>
      <c r="BI309" s="60" t="e">
        <f t="shared" si="306"/>
        <v>#NUM!</v>
      </c>
      <c r="BJ309" s="66" t="e">
        <f t="shared" si="302"/>
        <v>#NUM!</v>
      </c>
      <c r="BK309" s="63" t="e">
        <f t="shared" si="307"/>
        <v>#NUM!</v>
      </c>
      <c r="BL309" s="51">
        <f t="shared" si="303"/>
        <v>-2.1469689651170198</v>
      </c>
      <c r="BM309" s="63">
        <f t="shared" si="304"/>
        <v>57.787992478205233</v>
      </c>
    </row>
    <row r="310" spans="14:65" x14ac:dyDescent="0.3">
      <c r="N310" s="11">
        <v>92</v>
      </c>
      <c r="O310" s="52">
        <f t="shared" si="305"/>
        <v>8317.6377110267094</v>
      </c>
      <c r="P310" s="50" t="str">
        <f t="shared" si="257"/>
        <v>23.3035714285714</v>
      </c>
      <c r="Q310" s="18" t="str">
        <f t="shared" si="258"/>
        <v>1+19.8219489706645i</v>
      </c>
      <c r="R310" s="18">
        <f t="shared" si="269"/>
        <v>19.847157504177453</v>
      </c>
      <c r="S310" s="18">
        <f t="shared" si="270"/>
        <v>1.5203899352128429</v>
      </c>
      <c r="T310" s="18" t="str">
        <f t="shared" si="259"/>
        <v>1+0.0925024285297677i</v>
      </c>
      <c r="U310" s="18">
        <f t="shared" si="271"/>
        <v>1.0042692364520107</v>
      </c>
      <c r="V310" s="18">
        <f t="shared" si="272"/>
        <v>9.2239936369532607E-2</v>
      </c>
      <c r="W310" s="32" t="str">
        <f t="shared" si="260"/>
        <v>1-0.127749744360006i</v>
      </c>
      <c r="X310" s="18">
        <f t="shared" si="273"/>
        <v>1.0081269747328692</v>
      </c>
      <c r="Y310" s="18">
        <f t="shared" si="274"/>
        <v>-0.12706151256939802</v>
      </c>
      <c r="Z310" s="32" t="str">
        <f t="shared" si="261"/>
        <v>0.999723267611632+0.0626991390213986i</v>
      </c>
      <c r="AA310" s="18">
        <f t="shared" si="275"/>
        <v>1.0016874731362588</v>
      </c>
      <c r="AB310" s="18">
        <f t="shared" si="276"/>
        <v>6.2634459400947307E-2</v>
      </c>
      <c r="AC310" s="68" t="str">
        <f t="shared" si="277"/>
        <v>-0.0558153201142-1.18543146606181i</v>
      </c>
      <c r="AD310" s="66">
        <f t="shared" si="278"/>
        <v>1.4871464105444727</v>
      </c>
      <c r="AE310" s="63">
        <f t="shared" si="279"/>
        <v>-92.69574602986782</v>
      </c>
      <c r="AF310" s="51" t="e">
        <f t="shared" si="280"/>
        <v>#NUM!</v>
      </c>
      <c r="AG310" s="51" t="str">
        <f t="shared" si="262"/>
        <v>1-27.7507285589304i</v>
      </c>
      <c r="AH310" s="51">
        <f t="shared" si="281"/>
        <v>27.768740258633184</v>
      </c>
      <c r="AI310" s="51">
        <f t="shared" si="282"/>
        <v>-1.5347768222175551</v>
      </c>
      <c r="AJ310" s="51" t="str">
        <f t="shared" si="263"/>
        <v>1+0.0925024285297677i</v>
      </c>
      <c r="AK310" s="51">
        <f t="shared" si="283"/>
        <v>1.0042692364520107</v>
      </c>
      <c r="AL310" s="51">
        <f t="shared" si="284"/>
        <v>9.2239936369532607E-2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-0.000170731707317073</v>
      </c>
      <c r="AT310" s="32" t="str">
        <f t="shared" si="266"/>
        <v>0.0019859278441419i</v>
      </c>
      <c r="AU310" s="32">
        <f t="shared" si="290"/>
        <v>1.9859278441418998E-3</v>
      </c>
      <c r="AV310" s="32">
        <f t="shared" si="291"/>
        <v>1.5707963267948966</v>
      </c>
      <c r="AW310" s="32" t="str">
        <f t="shared" si="267"/>
        <v>1+0.422821091691819i</v>
      </c>
      <c r="AX310" s="32">
        <f t="shared" si="292"/>
        <v>1.0857152829261738</v>
      </c>
      <c r="AY310" s="32">
        <f t="shared" si="293"/>
        <v>0.40002364587733769</v>
      </c>
      <c r="AZ310" s="32" t="str">
        <f t="shared" si="268"/>
        <v>1+8.03360074214457i</v>
      </c>
      <c r="BA310" s="32">
        <f t="shared" si="294"/>
        <v>8.0956000941366781</v>
      </c>
      <c r="BB310" s="32">
        <f t="shared" si="295"/>
        <v>1.4469561377313025</v>
      </c>
      <c r="BC310" s="60" t="str">
        <f t="shared" si="296"/>
        <v>-0.555070266806354+0.320666166735822i</v>
      </c>
      <c r="BD310" s="51">
        <f t="shared" si="297"/>
        <v>-3.8623237212228489</v>
      </c>
      <c r="BE310" s="63">
        <f t="shared" si="298"/>
        <v>149.98481321834655</v>
      </c>
      <c r="BF310" s="60" t="str">
        <f t="shared" si="299"/>
        <v>0.411109188777737+0.640099675401423i</v>
      </c>
      <c r="BG310" s="66">
        <f t="shared" si="300"/>
        <v>-2.3751773106783762</v>
      </c>
      <c r="BH310" s="63">
        <f t="shared" si="301"/>
        <v>57.289067188478747</v>
      </c>
      <c r="BI310" s="60" t="e">
        <f t="shared" si="306"/>
        <v>#NUM!</v>
      </c>
      <c r="BJ310" s="66" t="e">
        <f t="shared" si="302"/>
        <v>#NUM!</v>
      </c>
      <c r="BK310" s="63" t="e">
        <f t="shared" si="307"/>
        <v>#NUM!</v>
      </c>
      <c r="BL310" s="51">
        <f t="shared" si="303"/>
        <v>-2.3751773106783762</v>
      </c>
      <c r="BM310" s="63">
        <f t="shared" si="304"/>
        <v>57.289067188478747</v>
      </c>
    </row>
    <row r="311" spans="14:65" x14ac:dyDescent="0.3">
      <c r="N311" s="11">
        <v>93</v>
      </c>
      <c r="O311" s="52">
        <f t="shared" si="305"/>
        <v>8511.3803820237772</v>
      </c>
      <c r="P311" s="50" t="str">
        <f t="shared" si="257"/>
        <v>23.3035714285714</v>
      </c>
      <c r="Q311" s="18" t="str">
        <f t="shared" si="258"/>
        <v>1+20.2836614750277i</v>
      </c>
      <c r="R311" s="18">
        <f t="shared" si="269"/>
        <v>20.308296896429372</v>
      </c>
      <c r="S311" s="18">
        <f t="shared" si="270"/>
        <v>1.5215354479205045</v>
      </c>
      <c r="T311" s="18" t="str">
        <f t="shared" si="259"/>
        <v>1+0.0946570868834627i</v>
      </c>
      <c r="U311" s="18">
        <f t="shared" si="271"/>
        <v>1.0044699916360187</v>
      </c>
      <c r="V311" s="18">
        <f t="shared" si="272"/>
        <v>9.4375889022821902E-2</v>
      </c>
      <c r="W311" s="32" t="str">
        <f t="shared" si="260"/>
        <v>1-0.130725418169252i</v>
      </c>
      <c r="X311" s="18">
        <f t="shared" si="273"/>
        <v>1.0085083712867859</v>
      </c>
      <c r="Y311" s="18">
        <f t="shared" si="274"/>
        <v>-0.12998830012375703</v>
      </c>
      <c r="Z311" s="32" t="str">
        <f t="shared" si="261"/>
        <v>0.99971022561597+0.064159589582634i</v>
      </c>
      <c r="AA311" s="18">
        <f t="shared" si="275"/>
        <v>1.0017669330420853</v>
      </c>
      <c r="AB311" s="18">
        <f t="shared" si="276"/>
        <v>6.409029067282436E-2</v>
      </c>
      <c r="AC311" s="68" t="str">
        <f t="shared" si="277"/>
        <v>-0.0585066662084972-1.15890016288912i</v>
      </c>
      <c r="AD311" s="66">
        <f t="shared" si="278"/>
        <v>1.2919752583200235</v>
      </c>
      <c r="AE311" s="63">
        <f t="shared" si="279"/>
        <v>-92.890103563080089</v>
      </c>
      <c r="AF311" s="51" t="e">
        <f t="shared" si="280"/>
        <v>#NUM!</v>
      </c>
      <c r="AG311" s="51" t="str">
        <f t="shared" si="262"/>
        <v>1-28.3971260650389i</v>
      </c>
      <c r="AH311" s="51">
        <f t="shared" si="281"/>
        <v>28.414728025334185</v>
      </c>
      <c r="AI311" s="51">
        <f t="shared" si="282"/>
        <v>-1.5355960412605234</v>
      </c>
      <c r="AJ311" s="51" t="str">
        <f t="shared" si="263"/>
        <v>1+0.0946570868834627i</v>
      </c>
      <c r="AK311" s="51">
        <f t="shared" si="283"/>
        <v>1.0044699916360187</v>
      </c>
      <c r="AL311" s="51">
        <f t="shared" si="284"/>
        <v>9.4375889022821902E-2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-0.000170731707317073</v>
      </c>
      <c r="AT311" s="32" t="str">
        <f t="shared" si="266"/>
        <v>0.00203218604608564i</v>
      </c>
      <c r="AU311" s="32">
        <f t="shared" si="290"/>
        <v>2.0321860460856401E-3</v>
      </c>
      <c r="AV311" s="32">
        <f t="shared" si="291"/>
        <v>1.5707963267948966</v>
      </c>
      <c r="AW311" s="32" t="str">
        <f t="shared" si="267"/>
        <v>1+0.432669860116737i</v>
      </c>
      <c r="AX311" s="32">
        <f t="shared" si="292"/>
        <v>1.08958854979916</v>
      </c>
      <c r="AY311" s="32">
        <f t="shared" si="293"/>
        <v>0.4083491101447157</v>
      </c>
      <c r="AZ311" s="32" t="str">
        <f t="shared" si="268"/>
        <v>1+8.22072734221802i</v>
      </c>
      <c r="BA311" s="32">
        <f t="shared" si="294"/>
        <v>8.2813258621485808</v>
      </c>
      <c r="BB311" s="32">
        <f t="shared" si="295"/>
        <v>1.4497473133960204</v>
      </c>
      <c r="BC311" s="60" t="str">
        <f t="shared" si="296"/>
        <v>-0.551130955982086+0.322471570990622i</v>
      </c>
      <c r="BD311" s="51">
        <f t="shared" si="297"/>
        <v>-3.8962387668120084</v>
      </c>
      <c r="BE311" s="63">
        <f t="shared" si="298"/>
        <v>149.66772183880681</v>
      </c>
      <c r="BF311" s="60" t="str">
        <f t="shared" si="299"/>
        <v>0.405957191026956+0.619839018095198i</v>
      </c>
      <c r="BG311" s="66">
        <f t="shared" si="300"/>
        <v>-2.604263508491985</v>
      </c>
      <c r="BH311" s="63">
        <f t="shared" si="301"/>
        <v>56.777618275726745</v>
      </c>
      <c r="BI311" s="60" t="e">
        <f t="shared" si="306"/>
        <v>#NUM!</v>
      </c>
      <c r="BJ311" s="66" t="e">
        <f t="shared" si="302"/>
        <v>#NUM!</v>
      </c>
      <c r="BK311" s="63" t="e">
        <f t="shared" si="307"/>
        <v>#NUM!</v>
      </c>
      <c r="BL311" s="51">
        <f t="shared" si="303"/>
        <v>-2.604263508491985</v>
      </c>
      <c r="BM311" s="63">
        <f t="shared" si="304"/>
        <v>56.777618275726745</v>
      </c>
    </row>
    <row r="312" spans="14:65" x14ac:dyDescent="0.3">
      <c r="N312" s="11">
        <v>94</v>
      </c>
      <c r="O312" s="52">
        <f t="shared" si="305"/>
        <v>8709.6358995608189</v>
      </c>
      <c r="P312" s="50" t="str">
        <f t="shared" si="257"/>
        <v>23.3035714285714</v>
      </c>
      <c r="Q312" s="18" t="str">
        <f t="shared" si="258"/>
        <v>1+20.756128645191i</v>
      </c>
      <c r="R312" s="18">
        <f t="shared" si="269"/>
        <v>20.780203953179054</v>
      </c>
      <c r="S312" s="18">
        <f t="shared" si="270"/>
        <v>1.522655010612102</v>
      </c>
      <c r="T312" s="18" t="str">
        <f t="shared" si="259"/>
        <v>1+0.0968619336775579i</v>
      </c>
      <c r="U312" s="18">
        <f t="shared" si="271"/>
        <v>1.0046801651250787</v>
      </c>
      <c r="V312" s="18">
        <f t="shared" si="272"/>
        <v>9.6560700496633095E-2</v>
      </c>
      <c r="W312" s="32" t="str">
        <f t="shared" si="260"/>
        <v>1-0.133770404325566i</v>
      </c>
      <c r="X312" s="18">
        <f t="shared" si="273"/>
        <v>1.008907587974947</v>
      </c>
      <c r="Y312" s="18">
        <f t="shared" si="274"/>
        <v>-0.13298094424734044</v>
      </c>
      <c r="Z312" s="32" t="str">
        <f t="shared" si="261"/>
        <v>0.999696568969988+0.0656540584075186i</v>
      </c>
      <c r="AA312" s="18">
        <f t="shared" si="275"/>
        <v>1.001850131205134</v>
      </c>
      <c r="AB312" s="18">
        <f t="shared" si="276"/>
        <v>6.5579810637775349E-2</v>
      </c>
      <c r="AC312" s="68" t="str">
        <f t="shared" si="277"/>
        <v>-0.0610794793218631-1.13297137819098i</v>
      </c>
      <c r="AD312" s="66">
        <f t="shared" si="278"/>
        <v>1.0969827237188601</v>
      </c>
      <c r="AE312" s="63">
        <f t="shared" si="279"/>
        <v>-93.08587838908592</v>
      </c>
      <c r="AF312" s="51" t="e">
        <f t="shared" si="280"/>
        <v>#NUM!</v>
      </c>
      <c r="AG312" s="51" t="str">
        <f t="shared" si="262"/>
        <v>1-29.0585801032674i</v>
      </c>
      <c r="AH312" s="51">
        <f t="shared" si="281"/>
        <v>29.075781633827283</v>
      </c>
      <c r="AI312" s="51">
        <f t="shared" si="282"/>
        <v>-1.5363966582771897</v>
      </c>
      <c r="AJ312" s="51" t="str">
        <f t="shared" si="263"/>
        <v>1+0.0968619336775579i</v>
      </c>
      <c r="AK312" s="51">
        <f t="shared" si="283"/>
        <v>1.0046801651250787</v>
      </c>
      <c r="AL312" s="51">
        <f t="shared" si="284"/>
        <v>9.6560700496633095E-2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-0.000170731707317073</v>
      </c>
      <c r="AT312" s="32" t="str">
        <f t="shared" si="266"/>
        <v>0.00207952173997017i</v>
      </c>
      <c r="AU312" s="32">
        <f t="shared" si="290"/>
        <v>2.0795217399701702E-3</v>
      </c>
      <c r="AV312" s="32">
        <f t="shared" si="291"/>
        <v>1.5707963267948966</v>
      </c>
      <c r="AW312" s="32" t="str">
        <f t="shared" si="267"/>
        <v>1+0.442748035828551i</v>
      </c>
      <c r="AX312" s="32">
        <f t="shared" si="292"/>
        <v>1.0936296554273022</v>
      </c>
      <c r="AY312" s="32">
        <f t="shared" si="293"/>
        <v>0.41680684945164492</v>
      </c>
      <c r="AZ312" s="32" t="str">
        <f t="shared" si="268"/>
        <v>1+8.41221268074248i</v>
      </c>
      <c r="BA312" s="32">
        <f t="shared" si="294"/>
        <v>8.4714415648131904</v>
      </c>
      <c r="BB312" s="32">
        <f t="shared" si="295"/>
        <v>1.452476786836199</v>
      </c>
      <c r="BC312" s="60" t="str">
        <f t="shared" si="296"/>
        <v>-0.547065478170212+0.324313595328096i</v>
      </c>
      <c r="BD312" s="51">
        <f t="shared" si="297"/>
        <v>-3.9312448097596109</v>
      </c>
      <c r="BE312" s="63">
        <f t="shared" si="298"/>
        <v>149.33951638071321</v>
      </c>
      <c r="BF312" s="60" t="str">
        <f t="shared" si="299"/>
        <v>0.400852495626547+0.600000623223571i</v>
      </c>
      <c r="BG312" s="66">
        <f t="shared" si="300"/>
        <v>-2.834262086040757</v>
      </c>
      <c r="BH312" s="63">
        <f t="shared" si="301"/>
        <v>56.253637991627322</v>
      </c>
      <c r="BI312" s="60" t="e">
        <f t="shared" si="306"/>
        <v>#NUM!</v>
      </c>
      <c r="BJ312" s="66" t="e">
        <f t="shared" si="302"/>
        <v>#NUM!</v>
      </c>
      <c r="BK312" s="63" t="e">
        <f t="shared" si="307"/>
        <v>#NUM!</v>
      </c>
      <c r="BL312" s="51">
        <f t="shared" si="303"/>
        <v>-2.834262086040757</v>
      </c>
      <c r="BM312" s="63">
        <f t="shared" si="304"/>
        <v>56.253637991627322</v>
      </c>
    </row>
    <row r="313" spans="14:65" x14ac:dyDescent="0.3">
      <c r="N313" s="11">
        <v>95</v>
      </c>
      <c r="O313" s="52">
        <f t="shared" si="305"/>
        <v>8912.5093813374679</v>
      </c>
      <c r="P313" s="50" t="str">
        <f t="shared" si="257"/>
        <v>23.3035714285714</v>
      </c>
      <c r="Q313" s="18" t="str">
        <f t="shared" si="258"/>
        <v>1+21.2396009895017i</v>
      </c>
      <c r="R313" s="18">
        <f t="shared" si="269"/>
        <v>21.263128890011497</v>
      </c>
      <c r="S313" s="18">
        <f t="shared" si="270"/>
        <v>1.5237492056619502</v>
      </c>
      <c r="T313" s="18" t="str">
        <f t="shared" si="259"/>
        <v>1+0.0991181379510081i</v>
      </c>
      <c r="U313" s="18">
        <f t="shared" si="271"/>
        <v>1.0049001966717268</v>
      </c>
      <c r="V313" s="18">
        <f t="shared" si="272"/>
        <v>9.8795445729136969E-2</v>
      </c>
      <c r="W313" s="32" t="str">
        <f t="shared" si="260"/>
        <v>1-0.136886317320915i</v>
      </c>
      <c r="X313" s="18">
        <f t="shared" si="273"/>
        <v>1.0093254499266737</v>
      </c>
      <c r="Y313" s="18">
        <f t="shared" si="274"/>
        <v>-0.13604081715108132</v>
      </c>
      <c r="Z313" s="32" t="str">
        <f t="shared" si="261"/>
        <v>0.99968226870611+0.0671833378832051i</v>
      </c>
      <c r="AA313" s="18">
        <f t="shared" si="275"/>
        <v>1.0019372431717088</v>
      </c>
      <c r="AB313" s="18">
        <f t="shared" si="276"/>
        <v>6.7103788209343943E-2</v>
      </c>
      <c r="AC313" s="68" t="str">
        <f t="shared" si="277"/>
        <v>-0.0635391388874094-1.10763214075673i</v>
      </c>
      <c r="AD313" s="66">
        <f t="shared" si="278"/>
        <v>0.90217896089866989</v>
      </c>
      <c r="AE313" s="63">
        <f t="shared" si="279"/>
        <v>-93.283164963451156</v>
      </c>
      <c r="AF313" s="51" t="e">
        <f t="shared" si="280"/>
        <v>#NUM!</v>
      </c>
      <c r="AG313" s="51" t="str">
        <f t="shared" si="262"/>
        <v>1-29.7354413853025i</v>
      </c>
      <c r="AH313" s="51">
        <f t="shared" si="281"/>
        <v>29.75225158502732</v>
      </c>
      <c r="AI313" s="51">
        <f t="shared" si="282"/>
        <v>-1.5371790936574641</v>
      </c>
      <c r="AJ313" s="51" t="str">
        <f t="shared" si="263"/>
        <v>1+0.0991181379510081i</v>
      </c>
      <c r="AK313" s="51">
        <f t="shared" si="283"/>
        <v>1.0049001966717268</v>
      </c>
      <c r="AL313" s="51">
        <f t="shared" si="284"/>
        <v>9.8795445729136969E-2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-0.000170731707317073</v>
      </c>
      <c r="AT313" s="32" t="str">
        <f t="shared" si="266"/>
        <v>0.00212796002380695i</v>
      </c>
      <c r="AU313" s="32">
        <f t="shared" si="290"/>
        <v>2.1279600238069498E-3</v>
      </c>
      <c r="AV313" s="32">
        <f t="shared" si="291"/>
        <v>1.5707963267948966</v>
      </c>
      <c r="AW313" s="32" t="str">
        <f t="shared" si="267"/>
        <v>1+0.453060962409424i</v>
      </c>
      <c r="AX313" s="32">
        <f t="shared" si="292"/>
        <v>1.0978452694525551</v>
      </c>
      <c r="AY313" s="32">
        <f t="shared" si="293"/>
        <v>0.42539650707117888</v>
      </c>
      <c r="AZ313" s="32" t="str">
        <f t="shared" si="268"/>
        <v>1+8.60815828577907i</v>
      </c>
      <c r="BA313" s="32">
        <f t="shared" si="294"/>
        <v>8.6660480654694521</v>
      </c>
      <c r="BB313" s="32">
        <f t="shared" si="295"/>
        <v>1.4551458424902237</v>
      </c>
      <c r="BC313" s="60" t="str">
        <f t="shared" si="296"/>
        <v>-0.542872193109854+0.326186770977679i</v>
      </c>
      <c r="BD313" s="51">
        <f t="shared" si="297"/>
        <v>-3.9673864613844376</v>
      </c>
      <c r="BE313" s="63">
        <f t="shared" si="298"/>
        <v>149.00029087591275</v>
      </c>
      <c r="BF313" s="60" t="str">
        <f t="shared" si="299"/>
        <v>0.395788583100651+0.580577062867182i</v>
      </c>
      <c r="BG313" s="66">
        <f t="shared" si="300"/>
        <v>-3.065207500485772</v>
      </c>
      <c r="BH313" s="63">
        <f t="shared" si="301"/>
        <v>55.717125912461604</v>
      </c>
      <c r="BI313" s="60" t="e">
        <f t="shared" si="306"/>
        <v>#NUM!</v>
      </c>
      <c r="BJ313" s="66" t="e">
        <f t="shared" si="302"/>
        <v>#NUM!</v>
      </c>
      <c r="BK313" s="63" t="e">
        <f t="shared" si="307"/>
        <v>#NUM!</v>
      </c>
      <c r="BL313" s="51">
        <f t="shared" si="303"/>
        <v>-3.065207500485772</v>
      </c>
      <c r="BM313" s="63">
        <f t="shared" si="304"/>
        <v>55.717125912461604</v>
      </c>
    </row>
    <row r="314" spans="14:65" x14ac:dyDescent="0.3">
      <c r="N314" s="11">
        <v>96</v>
      </c>
      <c r="O314" s="52">
        <f t="shared" si="305"/>
        <v>9120.1083935591087</v>
      </c>
      <c r="P314" s="50" t="str">
        <f t="shared" si="257"/>
        <v>23.3035714285714</v>
      </c>
      <c r="Q314" s="18" t="str">
        <f t="shared" si="258"/>
        <v>1+21.7343348513965i</v>
      </c>
      <c r="R314" s="18">
        <f t="shared" si="269"/>
        <v>21.757327764057528</v>
      </c>
      <c r="S314" s="18">
        <f t="shared" si="270"/>
        <v>1.5248186027404784</v>
      </c>
      <c r="T314" s="18" t="str">
        <f t="shared" si="259"/>
        <v>1+0.101426895973184i</v>
      </c>
      <c r="U314" s="18">
        <f t="shared" si="271"/>
        <v>1.0051305463603994</v>
      </c>
      <c r="V314" s="18">
        <f t="shared" si="272"/>
        <v>0.1010812202786906</v>
      </c>
      <c r="W314" s="32" t="str">
        <f t="shared" si="260"/>
        <v>1-0.140074809253612i</v>
      </c>
      <c r="X314" s="18">
        <f t="shared" si="273"/>
        <v>1.0097628197687989</v>
      </c>
      <c r="Y314" s="18">
        <f t="shared" si="274"/>
        <v>-0.13916931190679435</v>
      </c>
      <c r="Z314" s="32" t="str">
        <f t="shared" si="261"/>
        <v>0.999667294491559+0.0687482388539139i</v>
      </c>
      <c r="AA314" s="18">
        <f t="shared" si="275"/>
        <v>1.0020284527006147</v>
      </c>
      <c r="AB314" s="18">
        <f t="shared" si="276"/>
        <v>6.8663009091115709E-2</v>
      </c>
      <c r="AC314" s="68" t="str">
        <f t="shared" si="277"/>
        <v>-0.0658907909487044-1.08286973930707i</v>
      </c>
      <c r="AD314" s="66">
        <f t="shared" si="278"/>
        <v>0.70757448165660275</v>
      </c>
      <c r="AE314" s="63">
        <f t="shared" si="279"/>
        <v>-93.482057989651949</v>
      </c>
      <c r="AF314" s="51" t="e">
        <f t="shared" si="280"/>
        <v>#NUM!</v>
      </c>
      <c r="AG314" s="51" t="str">
        <f t="shared" si="262"/>
        <v>1-30.4280687919551i</v>
      </c>
      <c r="AH314" s="51">
        <f t="shared" si="281"/>
        <v>30.444496553695085</v>
      </c>
      <c r="AI314" s="51">
        <f t="shared" si="282"/>
        <v>-1.5379437584246642</v>
      </c>
      <c r="AJ314" s="51" t="str">
        <f t="shared" si="263"/>
        <v>1+0.101426895973184i</v>
      </c>
      <c r="AK314" s="51">
        <f t="shared" si="283"/>
        <v>1.0051305463603994</v>
      </c>
      <c r="AL314" s="51">
        <f t="shared" si="284"/>
        <v>0.1010812202786906</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-0.000170731707317073</v>
      </c>
      <c r="AT314" s="32" t="str">
        <f t="shared" si="266"/>
        <v>0.00217752658021524i</v>
      </c>
      <c r="AU314" s="32">
        <f t="shared" si="290"/>
        <v>2.1775265802152399E-3</v>
      </c>
      <c r="AV314" s="32">
        <f t="shared" si="291"/>
        <v>1.5707963267948966</v>
      </c>
      <c r="AW314" s="32" t="str">
        <f t="shared" si="267"/>
        <v>1+0.463614107909538i</v>
      </c>
      <c r="AX314" s="32">
        <f t="shared" si="292"/>
        <v>1.1022422787449031</v>
      </c>
      <c r="AY314" s="32">
        <f t="shared" si="293"/>
        <v>0.43411756620014935</v>
      </c>
      <c r="AZ314" s="32" t="str">
        <f t="shared" si="268"/>
        <v>1+8.80866805028123i</v>
      </c>
      <c r="BA314" s="32">
        <f t="shared" si="294"/>
        <v>8.8652486045257266</v>
      </c>
      <c r="BB314" s="32">
        <f t="shared" si="295"/>
        <v>1.457755743332976</v>
      </c>
      <c r="BC314" s="60" t="str">
        <f t="shared" si="296"/>
        <v>-0.538549635273829+0.328085465099937i</v>
      </c>
      <c r="BD314" s="51">
        <f t="shared" si="297"/>
        <v>-4.0047085617638443</v>
      </c>
      <c r="BE314" s="63">
        <f t="shared" si="298"/>
        <v>148.65014729817582</v>
      </c>
      <c r="BF314" s="60" t="str">
        <f t="shared" si="299"/>
        <v>0.390759283496536+0.56156129235868i</v>
      </c>
      <c r="BG314" s="66">
        <f t="shared" si="300"/>
        <v>-3.2971340801072491</v>
      </c>
      <c r="BH314" s="63">
        <f t="shared" si="301"/>
        <v>55.168089308523889</v>
      </c>
      <c r="BI314" s="60" t="e">
        <f t="shared" si="306"/>
        <v>#NUM!</v>
      </c>
      <c r="BJ314" s="66" t="e">
        <f t="shared" si="302"/>
        <v>#NUM!</v>
      </c>
      <c r="BK314" s="63" t="e">
        <f t="shared" si="307"/>
        <v>#NUM!</v>
      </c>
      <c r="BL314" s="51">
        <f t="shared" si="303"/>
        <v>-3.2971340801072491</v>
      </c>
      <c r="BM314" s="63">
        <f t="shared" si="304"/>
        <v>55.168089308523889</v>
      </c>
    </row>
    <row r="315" spans="14:65" x14ac:dyDescent="0.3">
      <c r="N315" s="11">
        <v>97</v>
      </c>
      <c r="O315" s="52">
        <f t="shared" si="305"/>
        <v>9332.5430079699217</v>
      </c>
      <c r="P315" s="50" t="str">
        <f t="shared" si="257"/>
        <v>23.3035714285714</v>
      </c>
      <c r="Q315" s="18" t="str">
        <f t="shared" si="258"/>
        <v>1+22.2405925453174i</v>
      </c>
      <c r="R315" s="18">
        <f t="shared" si="269"/>
        <v>22.263062609776494</v>
      </c>
      <c r="S315" s="18">
        <f t="shared" si="270"/>
        <v>1.5258637590668209</v>
      </c>
      <c r="T315" s="18" t="str">
        <f t="shared" si="259"/>
        <v>1+0.103789431878148i</v>
      </c>
      <c r="U315" s="18">
        <f t="shared" si="271"/>
        <v>1.0053716955283696</v>
      </c>
      <c r="V315" s="18">
        <f t="shared" si="272"/>
        <v>0.10341914049974034</v>
      </c>
      <c r="W315" s="32" t="str">
        <f t="shared" si="260"/>
        <v>1-0.143337570704284i</v>
      </c>
      <c r="X315" s="18">
        <f t="shared" si="273"/>
        <v>1.0102205992630549</v>
      </c>
      <c r="Y315" s="18">
        <f t="shared" si="274"/>
        <v>-0.14236784219445237</v>
      </c>
      <c r="Z315" s="32" t="str">
        <f t="shared" si="261"/>
        <v>0.999651614564018+0.0703495910508535i</v>
      </c>
      <c r="AA315" s="18">
        <f t="shared" si="275"/>
        <v>1.0021239521443792</v>
      </c>
      <c r="AB315" s="18">
        <f t="shared" si="276"/>
        <v>7.0258276088843635E-2</v>
      </c>
      <c r="AC315" s="68" t="str">
        <f t="shared" si="277"/>
        <v>-0.0681393584775226-1.05867171914113i</v>
      </c>
      <c r="AD315" s="66">
        <f t="shared" si="278"/>
        <v>0.51318017362923096</v>
      </c>
      <c r="AE315" s="63">
        <f t="shared" si="279"/>
        <v>-93.68265242687221</v>
      </c>
      <c r="AF315" s="51" t="e">
        <f t="shared" si="280"/>
        <v>#NUM!</v>
      </c>
      <c r="AG315" s="51" t="str">
        <f t="shared" si="262"/>
        <v>1-31.1368295634444i</v>
      </c>
      <c r="AH315" s="51">
        <f t="shared" si="281"/>
        <v>31.152883578618933</v>
      </c>
      <c r="AI315" s="51">
        <f t="shared" si="282"/>
        <v>-1.5386910544352561</v>
      </c>
      <c r="AJ315" s="51" t="str">
        <f t="shared" si="263"/>
        <v>1+0.103789431878148i</v>
      </c>
      <c r="AK315" s="51">
        <f t="shared" si="283"/>
        <v>1.0053716955283696</v>
      </c>
      <c r="AL315" s="51">
        <f t="shared" si="284"/>
        <v>0.10341914049974034</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-0.000170731707317073</v>
      </c>
      <c r="AT315" s="32" t="str">
        <f t="shared" si="266"/>
        <v>0.00222824769003933i</v>
      </c>
      <c r="AU315" s="32">
        <f t="shared" si="290"/>
        <v>2.22824769003933E-3</v>
      </c>
      <c r="AV315" s="32">
        <f t="shared" si="291"/>
        <v>1.5707963267948966</v>
      </c>
      <c r="AW315" s="32" t="str">
        <f t="shared" si="267"/>
        <v>1+0.474413067746323i</v>
      </c>
      <c r="AX315" s="32">
        <f t="shared" si="292"/>
        <v>1.1068277909632001</v>
      </c>
      <c r="AY315" s="32">
        <f t="shared" si="293"/>
        <v>0.44296934345811595</v>
      </c>
      <c r="AZ315" s="32" t="str">
        <f t="shared" si="268"/>
        <v>1+9.01384828718015i</v>
      </c>
      <c r="BA315" s="32">
        <f t="shared" si="294"/>
        <v>9.0691488544570991</v>
      </c>
      <c r="BB315" s="32">
        <f t="shared" si="295"/>
        <v>1.4603077308711336</v>
      </c>
      <c r="BC315" s="60" t="str">
        <f t="shared" si="296"/>
        <v>-0.53409652989667+0.330003885308796i</v>
      </c>
      <c r="BD315" s="51">
        <f t="shared" si="297"/>
        <v>-4.0432561337414166</v>
      </c>
      <c r="BE315" s="63">
        <f t="shared" si="298"/>
        <v>148.2891959354109</v>
      </c>
      <c r="BF315" s="60" t="str">
        <f t="shared" si="299"/>
        <v>0.385758775495345+0.542946638452988i</v>
      </c>
      <c r="BG315" s="66">
        <f t="shared" si="300"/>
        <v>-3.5300759601121912</v>
      </c>
      <c r="BH315" s="63">
        <f t="shared" si="301"/>
        <v>54.606543508538728</v>
      </c>
      <c r="BI315" s="60" t="e">
        <f t="shared" si="306"/>
        <v>#NUM!</v>
      </c>
      <c r="BJ315" s="66" t="e">
        <f t="shared" si="302"/>
        <v>#NUM!</v>
      </c>
      <c r="BK315" s="63" t="e">
        <f t="shared" si="307"/>
        <v>#NUM!</v>
      </c>
      <c r="BL315" s="51">
        <f t="shared" si="303"/>
        <v>-3.5300759601121912</v>
      </c>
      <c r="BM315" s="63">
        <f t="shared" si="304"/>
        <v>54.606543508538728</v>
      </c>
    </row>
    <row r="316" spans="14:65" x14ac:dyDescent="0.3">
      <c r="N316" s="11">
        <v>98</v>
      </c>
      <c r="O316" s="52">
        <f t="shared" si="305"/>
        <v>9549.9258602143691</v>
      </c>
      <c r="P316" s="50" t="str">
        <f t="shared" si="257"/>
        <v>23.3035714285714</v>
      </c>
      <c r="Q316" s="18" t="str">
        <f t="shared" si="258"/>
        <v>1+22.7586424957949i</v>
      </c>
      <c r="R316" s="18">
        <f t="shared" si="269"/>
        <v>22.780601577908371</v>
      </c>
      <c r="S316" s="18">
        <f t="shared" si="270"/>
        <v>1.5268852196580724</v>
      </c>
      <c r="T316" s="18" t="str">
        <f t="shared" si="259"/>
        <v>1+0.106206998313709i</v>
      </c>
      <c r="U316" s="18">
        <f t="shared" si="271"/>
        <v>1.0056241477265788</v>
      </c>
      <c r="V316" s="18">
        <f t="shared" si="272"/>
        <v>0.1058103437024366</v>
      </c>
      <c r="W316" s="32" t="str">
        <f t="shared" si="260"/>
        <v>1-0.146676331632241i</v>
      </c>
      <c r="X316" s="18">
        <f t="shared" si="273"/>
        <v>1.0106997310087162</v>
      </c>
      <c r="Y316" s="18">
        <f t="shared" si="274"/>
        <v>-0.14563784199719096</v>
      </c>
      <c r="Z316" s="32" t="str">
        <f t="shared" si="261"/>
        <v>0.999635195664258+0.0719882435321553i</v>
      </c>
      <c r="AA316" s="18">
        <f t="shared" si="275"/>
        <v>1.0022239428478867</v>
      </c>
      <c r="AB316" s="18">
        <f t="shared" si="276"/>
        <v>7.1890409424336221E-2</v>
      </c>
      <c r="AC316" s="68" t="str">
        <f t="shared" si="277"/>
        <v>-0.0702895512687433-1.03502587869225i</v>
      </c>
      <c r="AD316" s="66">
        <f t="shared" si="278"/>
        <v>0.31900731892587192</v>
      </c>
      <c r="AE316" s="63">
        <f t="shared" si="279"/>
        <v>-93.8850434956491</v>
      </c>
      <c r="AF316" s="51" t="e">
        <f t="shared" si="280"/>
        <v>#NUM!</v>
      </c>
      <c r="AG316" s="51" t="str">
        <f t="shared" si="262"/>
        <v>1-31.8620994941129i</v>
      </c>
      <c r="AH316" s="51">
        <f t="shared" si="281"/>
        <v>31.877788257229355</v>
      </c>
      <c r="AI316" s="51">
        <f t="shared" si="282"/>
        <v>-1.5394213745749401</v>
      </c>
      <c r="AJ316" s="51" t="str">
        <f t="shared" si="263"/>
        <v>1+0.106206998313709i</v>
      </c>
      <c r="AK316" s="51">
        <f t="shared" si="283"/>
        <v>1.0056241477265788</v>
      </c>
      <c r="AL316" s="51">
        <f t="shared" si="284"/>
        <v>0.1058103437024366</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-0.000170731707317073</v>
      </c>
      <c r="AT316" s="32" t="str">
        <f t="shared" si="266"/>
        <v>0.00228015024628303i</v>
      </c>
      <c r="AU316" s="32">
        <f t="shared" si="290"/>
        <v>2.2801502462830299E-3</v>
      </c>
      <c r="AV316" s="32">
        <f t="shared" si="291"/>
        <v>1.5707963267948966</v>
      </c>
      <c r="AW316" s="32" t="str">
        <f t="shared" si="267"/>
        <v>1+0.485463567671227i</v>
      </c>
      <c r="AX316" s="32">
        <f t="shared" si="292"/>
        <v>1.1116091379329678</v>
      </c>
      <c r="AY316" s="32">
        <f t="shared" si="293"/>
        <v>0.45195098258725136</v>
      </c>
      <c r="AZ316" s="32" t="str">
        <f t="shared" si="268"/>
        <v>1+9.22380778575334i</v>
      </c>
      <c r="BA316" s="32">
        <f t="shared" si="294"/>
        <v>9.2778569760760998</v>
      </c>
      <c r="BB316" s="32">
        <f t="shared" si="295"/>
        <v>1.4628030251687991</v>
      </c>
      <c r="BC316" s="60" t="str">
        <f t="shared" si="296"/>
        <v>-0.529511809168576+0.331936085541186i</v>
      </c>
      <c r="BD316" s="51">
        <f t="shared" si="297"/>
        <v>-4.0830743316668379</v>
      </c>
      <c r="BE316" s="63">
        <f t="shared" si="298"/>
        <v>147.91755575210124</v>
      </c>
      <c r="BF316" s="60" t="str">
        <f t="shared" si="299"/>
        <v>0.380781586064891+0.524726787060035i</v>
      </c>
      <c r="BG316" s="66">
        <f t="shared" si="300"/>
        <v>-3.764067012740973</v>
      </c>
      <c r="BH316" s="63">
        <f t="shared" si="301"/>
        <v>54.032512256452144</v>
      </c>
      <c r="BI316" s="60" t="e">
        <f t="shared" si="306"/>
        <v>#NUM!</v>
      </c>
      <c r="BJ316" s="66" t="e">
        <f t="shared" si="302"/>
        <v>#NUM!</v>
      </c>
      <c r="BK316" s="63" t="e">
        <f t="shared" si="307"/>
        <v>#NUM!</v>
      </c>
      <c r="BL316" s="51">
        <f t="shared" si="303"/>
        <v>-3.764067012740973</v>
      </c>
      <c r="BM316" s="63">
        <f t="shared" si="304"/>
        <v>54.032512256452144</v>
      </c>
    </row>
    <row r="317" spans="14:65" x14ac:dyDescent="0.3">
      <c r="N317" s="11">
        <v>99</v>
      </c>
      <c r="O317" s="52">
        <f t="shared" si="305"/>
        <v>9772.3722095581161</v>
      </c>
      <c r="P317" s="50" t="str">
        <f t="shared" si="257"/>
        <v>23.3035714285714</v>
      </c>
      <c r="Q317" s="18" t="str">
        <f t="shared" si="258"/>
        <v>1+23.2887593797699i</v>
      </c>
      <c r="R317" s="18">
        <f t="shared" si="269"/>
        <v>23.310219077666787</v>
      </c>
      <c r="S317" s="18">
        <f t="shared" si="270"/>
        <v>1.5278835175751186</v>
      </c>
      <c r="T317" s="18" t="str">
        <f t="shared" si="259"/>
        <v>1+0.108680877105593i</v>
      </c>
      <c r="U317" s="18">
        <f t="shared" si="271"/>
        <v>1.0058884297219255</v>
      </c>
      <c r="V317" s="18">
        <f t="shared" si="272"/>
        <v>0.10825598829427838</v>
      </c>
      <c r="W317" s="32" t="str">
        <f t="shared" si="260"/>
        <v>1-0.150092862292721i</v>
      </c>
      <c r="X317" s="18">
        <f t="shared" si="273"/>
        <v>1.0112012002125104</v>
      </c>
      <c r="Y317" s="18">
        <f t="shared" si="274"/>
        <v>-0.1489807652402412</v>
      </c>
      <c r="Z317" s="32" t="str">
        <f t="shared" si="261"/>
        <v>0.999618002965591+0.0736650651330549i</v>
      </c>
      <c r="AA317" s="18">
        <f t="shared" si="275"/>
        <v>1.0023286355651888</v>
      </c>
      <c r="AB317" s="18">
        <f t="shared" si="276"/>
        <v>7.3560247050771313E-2</v>
      </c>
      <c r="AC317" s="68" t="str">
        <f t="shared" si="277"/>
        <v>-0.0723458754288612-1.01192026600487i</v>
      </c>
      <c r="AD317" s="66">
        <f t="shared" si="278"/>
        <v>0.12506761320127449</v>
      </c>
      <c r="AE317" s="63">
        <f t="shared" si="279"/>
        <v>-94.08932668122084</v>
      </c>
      <c r="AF317" s="51" t="e">
        <f t="shared" si="280"/>
        <v>#NUM!</v>
      </c>
      <c r="AG317" s="51" t="str">
        <f t="shared" si="262"/>
        <v>1-32.6042631316779i</v>
      </c>
      <c r="AH317" s="51">
        <f t="shared" si="281"/>
        <v>32.619594944752009</v>
      </c>
      <c r="AI317" s="51">
        <f t="shared" si="282"/>
        <v>-1.5401351029511068</v>
      </c>
      <c r="AJ317" s="51" t="str">
        <f t="shared" si="263"/>
        <v>1+0.108680877105593i</v>
      </c>
      <c r="AK317" s="51">
        <f t="shared" si="283"/>
        <v>1.0058884297219255</v>
      </c>
      <c r="AL317" s="51">
        <f t="shared" si="284"/>
        <v>0.10825598829427838</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-0.000170731707317073</v>
      </c>
      <c r="AT317" s="32" t="str">
        <f t="shared" si="266"/>
        <v>0.00233326176836866i</v>
      </c>
      <c r="AU317" s="32">
        <f t="shared" si="290"/>
        <v>2.33326176836866E-3</v>
      </c>
      <c r="AV317" s="32">
        <f t="shared" si="291"/>
        <v>1.5707963267948966</v>
      </c>
      <c r="AW317" s="32" t="str">
        <f t="shared" si="267"/>
        <v>1+0.496771466805581i</v>
      </c>
      <c r="AX317" s="32">
        <f t="shared" si="292"/>
        <v>1.1165938788262133</v>
      </c>
      <c r="AY317" s="32">
        <f t="shared" si="293"/>
        <v>0.4610614484013133</v>
      </c>
      <c r="AZ317" s="32" t="str">
        <f t="shared" si="268"/>
        <v>1+9.43865786930605i</v>
      </c>
      <c r="BA317" s="32">
        <f t="shared" si="294"/>
        <v>9.4914836761073875</v>
      </c>
      <c r="BB317" s="32">
        <f t="shared" si="295"/>
        <v>1.4652428249010301</v>
      </c>
      <c r="BC317" s="60" t="str">
        <f t="shared" si="296"/>
        <v>-0.524794628487443+0.333875973339045i</v>
      </c>
      <c r="BD317" s="51">
        <f t="shared" si="297"/>
        <v>-4.1242083848397932</v>
      </c>
      <c r="BE317" s="63">
        <f t="shared" si="298"/>
        <v>147.53535473907132</v>
      </c>
      <c r="BF317" s="60" t="str">
        <f t="shared" si="299"/>
        <v>0.375822590572169+0.506895770481064i</v>
      </c>
      <c r="BG317" s="66">
        <f t="shared" si="300"/>
        <v>-3.9991407716385217</v>
      </c>
      <c r="BH317" s="63">
        <f t="shared" si="301"/>
        <v>53.446028057850519</v>
      </c>
      <c r="BI317" s="60" t="e">
        <f t="shared" si="306"/>
        <v>#NUM!</v>
      </c>
      <c r="BJ317" s="66" t="e">
        <f t="shared" si="302"/>
        <v>#NUM!</v>
      </c>
      <c r="BK317" s="63" t="e">
        <f t="shared" si="307"/>
        <v>#NUM!</v>
      </c>
      <c r="BL317" s="51">
        <f t="shared" si="303"/>
        <v>-3.9991407716385217</v>
      </c>
      <c r="BM317" s="63">
        <f t="shared" si="304"/>
        <v>53.446028057850519</v>
      </c>
    </row>
    <row r="318" spans="14:65" x14ac:dyDescent="0.3">
      <c r="N318" s="11">
        <v>100</v>
      </c>
      <c r="O318" s="52">
        <f t="shared" si="305"/>
        <v>10000</v>
      </c>
      <c r="P318" s="50" t="str">
        <f t="shared" si="257"/>
        <v>23.3035714285714</v>
      </c>
      <c r="Q318" s="18" t="str">
        <f t="shared" si="258"/>
        <v>1+23.8312242722312i</v>
      </c>
      <c r="R318" s="18">
        <f t="shared" si="269"/>
        <v>23.852195922249621</v>
      </c>
      <c r="S318" s="18">
        <f t="shared" si="270"/>
        <v>1.5288591741649769</v>
      </c>
      <c r="T318" s="18" t="str">
        <f t="shared" si="259"/>
        <v>1+0.111212379937079i</v>
      </c>
      <c r="U318" s="18">
        <f t="shared" si="271"/>
        <v>1.0061650925426051</v>
      </c>
      <c r="V318" s="18">
        <f t="shared" si="272"/>
        <v>0.11075725390199645</v>
      </c>
      <c r="W318" s="32" t="str">
        <f t="shared" si="260"/>
        <v>1-0.153588974175501i</v>
      </c>
      <c r="X318" s="18">
        <f t="shared" si="273"/>
        <v>1.0117260365278156</v>
      </c>
      <c r="Y318" s="18">
        <f t="shared" si="274"/>
        <v>-0.15239808536980054</v>
      </c>
      <c r="Z318" s="32" t="str">
        <f t="shared" si="261"/>
        <v>0.9996+0.0753809449265603i</v>
      </c>
      <c r="AA318" s="18">
        <f t="shared" si="275"/>
        <v>1.0024382508952965</v>
      </c>
      <c r="AB318" s="18">
        <f t="shared" si="276"/>
        <v>7.5268644969067711E-2</v>
      </c>
      <c r="AC318" s="68" t="str">
        <f t="shared" si="277"/>
        <v>-0.0743126424740869-0.989343175143912i</v>
      </c>
      <c r="AD318" s="66">
        <f t="shared" si="278"/>
        <v>-6.8626814828516181E-2</v>
      </c>
      <c r="AE318" s="63">
        <f t="shared" si="279"/>
        <v>-94.295597734426522</v>
      </c>
      <c r="AF318" s="51" t="e">
        <f t="shared" si="280"/>
        <v>#NUM!</v>
      </c>
      <c r="AG318" s="51" t="str">
        <f t="shared" si="262"/>
        <v>1-33.3637139811237i</v>
      </c>
      <c r="AH318" s="51">
        <f t="shared" si="281"/>
        <v>33.378696958003459</v>
      </c>
      <c r="AI318" s="51">
        <f t="shared" si="282"/>
        <v>-1.5408326150816924</v>
      </c>
      <c r="AJ318" s="51" t="str">
        <f t="shared" si="263"/>
        <v>1+0.111212379937079i</v>
      </c>
      <c r="AK318" s="51">
        <f t="shared" si="283"/>
        <v>1.0061650925426051</v>
      </c>
      <c r="AL318" s="51">
        <f t="shared" si="284"/>
        <v>0.11075725390199645</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-0.000170731707317073</v>
      </c>
      <c r="AT318" s="32" t="str">
        <f t="shared" si="266"/>
        <v>0.00238761041672824i</v>
      </c>
      <c r="AU318" s="32">
        <f t="shared" si="290"/>
        <v>2.3876104167282401E-3</v>
      </c>
      <c r="AV318" s="32">
        <f t="shared" si="291"/>
        <v>1.5707963267948966</v>
      </c>
      <c r="AW318" s="32" t="str">
        <f t="shared" si="267"/>
        <v>1+0.508342760747182i</v>
      </c>
      <c r="AX318" s="32">
        <f t="shared" si="292"/>
        <v>1.1217898031289404</v>
      </c>
      <c r="AY318" s="32">
        <f t="shared" si="293"/>
        <v>0.47029952103403966</v>
      </c>
      <c r="AZ318" s="32" t="str">
        <f t="shared" si="268"/>
        <v>1+9.65851245419647i</v>
      </c>
      <c r="BA318" s="32">
        <f t="shared" si="294"/>
        <v>9.7101422660982841</v>
      </c>
      <c r="BB318" s="32">
        <f t="shared" si="295"/>
        <v>1.467628307432993</v>
      </c>
      <c r="BC318" s="60" t="str">
        <f t="shared" si="296"/>
        <v>-0.519944382649964+0.335817318600826i</v>
      </c>
      <c r="BD318" s="51">
        <f t="shared" si="297"/>
        <v>-4.1667035356654667</v>
      </c>
      <c r="BE318" s="63">
        <f t="shared" si="298"/>
        <v>147.14273024756446</v>
      </c>
      <c r="BF318" s="60" t="str">
        <f t="shared" si="299"/>
        <v>0.370877013267132+0.489447954095367i</v>
      </c>
      <c r="BG318" s="66">
        <f t="shared" si="300"/>
        <v>-4.235330350493987</v>
      </c>
      <c r="BH318" s="63">
        <f t="shared" si="301"/>
        <v>52.847132513138007</v>
      </c>
      <c r="BI318" s="60" t="e">
        <f t="shared" si="306"/>
        <v>#NUM!</v>
      </c>
      <c r="BJ318" s="66" t="e">
        <f t="shared" si="302"/>
        <v>#NUM!</v>
      </c>
      <c r="BK318" s="63" t="e">
        <f t="shared" si="307"/>
        <v>#NUM!</v>
      </c>
      <c r="BL318" s="51">
        <f t="shared" si="303"/>
        <v>-4.235330350493987</v>
      </c>
      <c r="BM318" s="63">
        <f t="shared" si="304"/>
        <v>52.847132513138007</v>
      </c>
    </row>
    <row r="319" spans="14:65" x14ac:dyDescent="0.3">
      <c r="N319" s="11">
        <v>1</v>
      </c>
      <c r="O319" s="52">
        <f>10^(4+(N319/100))</f>
        <v>10232.929922807549</v>
      </c>
      <c r="P319" s="50" t="str">
        <f t="shared" si="257"/>
        <v>23.3035714285714</v>
      </c>
      <c r="Q319" s="18" t="str">
        <f t="shared" si="258"/>
        <v>1+24.3863247952452i</v>
      </c>
      <c r="R319" s="18">
        <f t="shared" si="269"/>
        <v>24.406819477744147</v>
      </c>
      <c r="S319" s="18">
        <f t="shared" si="270"/>
        <v>1.5298126992995869</v>
      </c>
      <c r="T319" s="18" t="str">
        <f t="shared" si="259"/>
        <v>1+0.113802849044477i</v>
      </c>
      <c r="U319" s="18">
        <f t="shared" si="271"/>
        <v>1.0064547125681513</v>
      </c>
      <c r="V319" s="18">
        <f t="shared" si="272"/>
        <v>0.11331534147178501</v>
      </c>
      <c r="W319" s="32" t="str">
        <f t="shared" si="260"/>
        <v>1-0.15716652096538i</v>
      </c>
      <c r="X319" s="18">
        <f t="shared" si="273"/>
        <v>1.0122753159651583</v>
      </c>
      <c r="Y319" s="18">
        <f t="shared" si="274"/>
        <v>-0.15589129486766165</v>
      </c>
      <c r="Z319" s="32" t="str">
        <f t="shared" si="261"/>
        <v>0.99958114858078+0.0771367926948506i</v>
      </c>
      <c r="AA319" s="18">
        <f t="shared" si="275"/>
        <v>1.0025530197377692</v>
      </c>
      <c r="AB319" s="18">
        <f t="shared" si="276"/>
        <v>7.7016477544911338E-2</v>
      </c>
      <c r="AC319" s="68" t="str">
        <f t="shared" si="277"/>
        <v>-0.076193978053514-0.967283142547482i</v>
      </c>
      <c r="AD319" s="66">
        <f t="shared" si="278"/>
        <v>-0.26206338342239643</v>
      </c>
      <c r="AE319" s="63">
        <f t="shared" si="279"/>
        <v>-94.50395266999935</v>
      </c>
      <c r="AF319" s="51" t="e">
        <f t="shared" si="280"/>
        <v>#NUM!</v>
      </c>
      <c r="AG319" s="51" t="str">
        <f t="shared" si="262"/>
        <v>1-34.1408547133433i</v>
      </c>
      <c r="AH319" s="51">
        <f t="shared" si="281"/>
        <v>34.15549678393824</v>
      </c>
      <c r="AI319" s="51">
        <f t="shared" si="282"/>
        <v>-1.5415142780804616</v>
      </c>
      <c r="AJ319" s="51" t="str">
        <f t="shared" si="263"/>
        <v>1+0.113802849044477i</v>
      </c>
      <c r="AK319" s="51">
        <f t="shared" si="283"/>
        <v>1.0064547125681513</v>
      </c>
      <c r="AL319" s="51">
        <f t="shared" si="284"/>
        <v>0.11331534147178501</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-0.000170731707317073</v>
      </c>
      <c r="AT319" s="32" t="str">
        <f t="shared" si="266"/>
        <v>0.00244322500773454i</v>
      </c>
      <c r="AU319" s="32">
        <f t="shared" si="290"/>
        <v>2.4432250077345398E-3</v>
      </c>
      <c r="AV319" s="32">
        <f t="shared" si="291"/>
        <v>1.5707963267948966</v>
      </c>
      <c r="AW319" s="32" t="str">
        <f t="shared" si="267"/>
        <v>1+0.520183584749243i</v>
      </c>
      <c r="AX319" s="32">
        <f t="shared" si="292"/>
        <v>1.1272049333828222</v>
      </c>
      <c r="AY319" s="32">
        <f t="shared" si="293"/>
        <v>0.47966379053915309</v>
      </c>
      <c r="AZ319" s="32" t="str">
        <f t="shared" si="268"/>
        <v>1+9.88348811023563i</v>
      </c>
      <c r="BA319" s="32">
        <f t="shared" si="294"/>
        <v>9.9339487226967851</v>
      </c>
      <c r="BB319" s="32">
        <f t="shared" si="295"/>
        <v>1.4699606289225846</v>
      </c>
      <c r="BC319" s="60" t="str">
        <f t="shared" si="296"/>
        <v>-0.514960721852146+0.337753763850067i</v>
      </c>
      <c r="BD319" s="51">
        <f t="shared" si="297"/>
        <v>-4.2106049725675962</v>
      </c>
      <c r="BE319" s="63">
        <f t="shared" si="298"/>
        <v>146.73982930451959</v>
      </c>
      <c r="BF319" s="60" t="str">
        <f t="shared" si="299"/>
        <v>0.365940428043357+0.47237802245138i</v>
      </c>
      <c r="BG319" s="66">
        <f t="shared" si="300"/>
        <v>-4.4726683559899927</v>
      </c>
      <c r="BH319" s="63">
        <f t="shared" si="301"/>
        <v>52.235876634520231</v>
      </c>
      <c r="BI319" s="60" t="e">
        <f t="shared" si="306"/>
        <v>#NUM!</v>
      </c>
      <c r="BJ319" s="66" t="e">
        <f t="shared" si="302"/>
        <v>#NUM!</v>
      </c>
      <c r="BK319" s="63" t="e">
        <f t="shared" si="307"/>
        <v>#NUM!</v>
      </c>
      <c r="BL319" s="51">
        <f t="shared" si="303"/>
        <v>-4.4726683559899927</v>
      </c>
      <c r="BM319" s="63">
        <f t="shared" si="304"/>
        <v>52.235876634520231</v>
      </c>
    </row>
    <row r="320" spans="14:65" x14ac:dyDescent="0.3">
      <c r="N320" s="11">
        <v>2</v>
      </c>
      <c r="O320" s="52">
        <f t="shared" ref="O320:O383" si="308">10^(4+(N320/100))</f>
        <v>10471.285480509003</v>
      </c>
      <c r="P320" s="50" t="str">
        <f t="shared" si="257"/>
        <v>23.3035714285714</v>
      </c>
      <c r="Q320" s="18" t="str">
        <f t="shared" si="258"/>
        <v>1+24.9543552704568i</v>
      </c>
      <c r="R320" s="18">
        <f t="shared" si="269"/>
        <v>24.974383815505341</v>
      </c>
      <c r="S320" s="18">
        <f t="shared" si="270"/>
        <v>1.5307445916110056</v>
      </c>
      <c r="T320" s="18" t="str">
        <f t="shared" si="259"/>
        <v>1+0.116453657928798i</v>
      </c>
      <c r="U320" s="18">
        <f t="shared" si="271"/>
        <v>1.0067578926658571</v>
      </c>
      <c r="V320" s="18">
        <f t="shared" si="272"/>
        <v>0.11593147334583163</v>
      </c>
      <c r="W320" s="32" t="str">
        <f t="shared" si="260"/>
        <v>1-0.16082739952502i</v>
      </c>
      <c r="X320" s="18">
        <f t="shared" si="273"/>
        <v>1.01285016287602</v>
      </c>
      <c r="Y320" s="18">
        <f t="shared" si="274"/>
        <v>-0.15946190469718913</v>
      </c>
      <c r="Z320" s="32" t="str">
        <f t="shared" si="261"/>
        <v>0.999561408721543+0.0789335394116539i</v>
      </c>
      <c r="AA320" s="18">
        <f t="shared" si="275"/>
        <v>1.0026731837689919</v>
      </c>
      <c r="AB320" s="18">
        <f t="shared" si="276"/>
        <v>7.8804637825991425E-2</v>
      </c>
      <c r="AC320" s="68" t="str">
        <f t="shared" si="277"/>
        <v>-0.0779938303123395-0.945728943332398i</v>
      </c>
      <c r="AD320" s="66">
        <f t="shared" si="278"/>
        <v>-0.45522903740382015</v>
      </c>
      <c r="AE320" s="63">
        <f t="shared" si="279"/>
        <v>-94.714487762090471</v>
      </c>
      <c r="AF320" s="51" t="e">
        <f t="shared" si="280"/>
        <v>#NUM!</v>
      </c>
      <c r="AG320" s="51" t="str">
        <f t="shared" si="262"/>
        <v>1-34.9360973786396i</v>
      </c>
      <c r="AH320" s="51">
        <f t="shared" si="281"/>
        <v>34.950406293057434</v>
      </c>
      <c r="AI320" s="51">
        <f t="shared" si="282"/>
        <v>-1.5421804508387527</v>
      </c>
      <c r="AJ320" s="51" t="str">
        <f t="shared" si="263"/>
        <v>1+0.116453657928798i</v>
      </c>
      <c r="AK320" s="51">
        <f t="shared" si="283"/>
        <v>1.0067578926658571</v>
      </c>
      <c r="AL320" s="51">
        <f t="shared" si="284"/>
        <v>0.11593147334583163</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-0.000170731707317073</v>
      </c>
      <c r="AT320" s="32" t="str">
        <f t="shared" si="266"/>
        <v>0.00250013502897985i</v>
      </c>
      <c r="AU320" s="32">
        <f t="shared" si="290"/>
        <v>2.5001350289798499E-3</v>
      </c>
      <c r="AV320" s="32">
        <f t="shared" si="291"/>
        <v>1.5707963267948966</v>
      </c>
      <c r="AW320" s="32" t="str">
        <f t="shared" si="267"/>
        <v>1+0.532300216973382i</v>
      </c>
      <c r="AX320" s="32">
        <f t="shared" si="292"/>
        <v>1.1328475276884835</v>
      </c>
      <c r="AY320" s="32">
        <f t="shared" si="293"/>
        <v>0.48915265189564</v>
      </c>
      <c r="AZ320" s="32" t="str">
        <f t="shared" si="268"/>
        <v>1+10.1137041224943i</v>
      </c>
      <c r="BA320" s="32">
        <f t="shared" si="294"/>
        <v>10.163021749330177</v>
      </c>
      <c r="BB320" s="32">
        <f t="shared" si="295"/>
        <v>1.4722409244445109</v>
      </c>
      <c r="BC320" s="60" t="str">
        <f t="shared" si="296"/>
        <v>-0.509843567359553+0.339678836057497i</v>
      </c>
      <c r="BD320" s="51">
        <f t="shared" si="297"/>
        <v>-4.2559577577455405</v>
      </c>
      <c r="BE320" s="63">
        <f t="shared" si="298"/>
        <v>146.32680890585698</v>
      </c>
      <c r="BF320" s="60" t="str">
        <f t="shared" si="299"/>
        <v>0.361008759375514+0.455680964723609i</v>
      </c>
      <c r="BG320" s="66">
        <f t="shared" si="300"/>
        <v>-4.7111867951493647</v>
      </c>
      <c r="BH320" s="63">
        <f t="shared" si="301"/>
        <v>51.61232114376655</v>
      </c>
      <c r="BI320" s="60" t="e">
        <f t="shared" si="306"/>
        <v>#NUM!</v>
      </c>
      <c r="BJ320" s="66" t="e">
        <f t="shared" si="302"/>
        <v>#NUM!</v>
      </c>
      <c r="BK320" s="63" t="e">
        <f t="shared" si="307"/>
        <v>#NUM!</v>
      </c>
      <c r="BL320" s="51">
        <f t="shared" si="303"/>
        <v>-4.7111867951493647</v>
      </c>
      <c r="BM320" s="63">
        <f t="shared" si="304"/>
        <v>51.61232114376655</v>
      </c>
    </row>
    <row r="321" spans="14:65" x14ac:dyDescent="0.3">
      <c r="N321" s="11">
        <v>3</v>
      </c>
      <c r="O321" s="52">
        <f t="shared" si="308"/>
        <v>10715.193052376071</v>
      </c>
      <c r="P321" s="50" t="str">
        <f t="shared" si="257"/>
        <v>23.3035714285714</v>
      </c>
      <c r="Q321" s="18" t="str">
        <f t="shared" si="258"/>
        <v>1+25.5356168751427i</v>
      </c>
      <c r="R321" s="18">
        <f t="shared" si="269"/>
        <v>25.555189868088878</v>
      </c>
      <c r="S321" s="18">
        <f t="shared" si="270"/>
        <v>1.5316553387229641</v>
      </c>
      <c r="T321" s="18" t="str">
        <f t="shared" si="259"/>
        <v>1+0.119166212083999i</v>
      </c>
      <c r="U321" s="18">
        <f t="shared" si="271"/>
        <v>1.0070752633753093</v>
      </c>
      <c r="V321" s="18">
        <f t="shared" si="272"/>
        <v>0.11860689331298946</v>
      </c>
      <c r="W321" s="32" t="str">
        <f t="shared" si="260"/>
        <v>1-0.16457355090069i</v>
      </c>
      <c r="X321" s="18">
        <f t="shared" si="273"/>
        <v>1.0134517520119357</v>
      </c>
      <c r="Y321" s="18">
        <f t="shared" si="274"/>
        <v>-0.16311144367607985</v>
      </c>
      <c r="Z321" s="32" t="str">
        <f t="shared" si="261"/>
        <v>0.999540738551401+0.0807721377358622i</v>
      </c>
      <c r="AA321" s="18">
        <f t="shared" si="275"/>
        <v>1.0027989959400143</v>
      </c>
      <c r="AB321" s="18">
        <f t="shared" si="276"/>
        <v>8.0634037858968374E-2</v>
      </c>
      <c r="AC321" s="68" t="str">
        <f t="shared" si="277"/>
        <v>-0.0797159779096844-0.924669587561547i</v>
      </c>
      <c r="AD321" s="66">
        <f t="shared" si="278"/>
        <v>-0.64811022730519208</v>
      </c>
      <c r="AE321" s="63">
        <f t="shared" si="279"/>
        <v>-94.927299536855841</v>
      </c>
      <c r="AF321" s="51" t="e">
        <f t="shared" si="280"/>
        <v>#NUM!</v>
      </c>
      <c r="AG321" s="51" t="str">
        <f t="shared" si="262"/>
        <v>1-35.7498636251999i</v>
      </c>
      <c r="AH321" s="51">
        <f t="shared" si="281"/>
        <v>35.763846957792317</v>
      </c>
      <c r="AI321" s="51">
        <f t="shared" si="282"/>
        <v>-1.5428314842037207</v>
      </c>
      <c r="AJ321" s="51" t="str">
        <f t="shared" si="263"/>
        <v>1+0.119166212083999i</v>
      </c>
      <c r="AK321" s="51">
        <f t="shared" si="283"/>
        <v>1.0070752633753093</v>
      </c>
      <c r="AL321" s="51">
        <f t="shared" si="284"/>
        <v>0.11860689331298946</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-0.000170731707317073</v>
      </c>
      <c r="AT321" s="32" t="str">
        <f t="shared" si="266"/>
        <v>0.00255837065491072i</v>
      </c>
      <c r="AU321" s="32">
        <f t="shared" si="290"/>
        <v>2.5583706549107202E-3</v>
      </c>
      <c r="AV321" s="32">
        <f t="shared" si="291"/>
        <v>1.5707963267948966</v>
      </c>
      <c r="AW321" s="32" t="str">
        <f t="shared" si="267"/>
        <v>1+0.544699081818387i</v>
      </c>
      <c r="AX321" s="32">
        <f t="shared" si="292"/>
        <v>1.1387260819590432</v>
      </c>
      <c r="AY321" s="32">
        <f t="shared" si="293"/>
        <v>0.49876430047305992</v>
      </c>
      <c r="AZ321" s="32" t="str">
        <f t="shared" si="268"/>
        <v>1+10.3492825545494i</v>
      </c>
      <c r="BA321" s="32">
        <f t="shared" si="294"/>
        <v>10.397482839317435</v>
      </c>
      <c r="BB321" s="32">
        <f t="shared" si="295"/>
        <v>1.4744703081339234</v>
      </c>
      <c r="BC321" s="60" t="str">
        <f t="shared" si="296"/>
        <v>-0.504593126698228+0.34158596004029i</v>
      </c>
      <c r="BD321" s="51">
        <f t="shared" si="297"/>
        <v>-4.3028067499077318</v>
      </c>
      <c r="BE321" s="63">
        <f t="shared" si="298"/>
        <v>145.90383628452673</v>
      </c>
      <c r="BF321" s="60" t="str">
        <f t="shared" si="299"/>
        <v>0.356078283328525+0.439352059505612i</v>
      </c>
      <c r="BG321" s="66">
        <f t="shared" si="300"/>
        <v>-4.9509169772129171</v>
      </c>
      <c r="BH321" s="63">
        <f t="shared" si="301"/>
        <v>50.97653674767087</v>
      </c>
      <c r="BI321" s="60" t="e">
        <f t="shared" si="306"/>
        <v>#NUM!</v>
      </c>
      <c r="BJ321" s="66" t="e">
        <f t="shared" si="302"/>
        <v>#NUM!</v>
      </c>
      <c r="BK321" s="63" t="e">
        <f t="shared" si="307"/>
        <v>#NUM!</v>
      </c>
      <c r="BL321" s="51">
        <f t="shared" si="303"/>
        <v>-4.9509169772129171</v>
      </c>
      <c r="BM321" s="63">
        <f t="shared" si="304"/>
        <v>50.97653674767087</v>
      </c>
    </row>
    <row r="322" spans="14:65" x14ac:dyDescent="0.3">
      <c r="N322" s="11">
        <v>4</v>
      </c>
      <c r="O322" s="52">
        <f t="shared" si="308"/>
        <v>10964.781961431856</v>
      </c>
      <c r="P322" s="50" t="str">
        <f t="shared" si="257"/>
        <v>23.3035714285714</v>
      </c>
      <c r="Q322" s="18" t="str">
        <f t="shared" si="258"/>
        <v>1+26.1304178018997i</v>
      </c>
      <c r="R322" s="18">
        <f t="shared" si="269"/>
        <v>26.149545588821169</v>
      </c>
      <c r="S322" s="18">
        <f t="shared" si="270"/>
        <v>1.5325454174787614</v>
      </c>
      <c r="T322" s="18" t="str">
        <f t="shared" si="259"/>
        <v>1+0.121941949742199i</v>
      </c>
      <c r="U322" s="18">
        <f t="shared" si="271"/>
        <v>1.0074074841428016</v>
      </c>
      <c r="V322" s="18">
        <f t="shared" si="272"/>
        <v>0.12134286663130278</v>
      </c>
      <c r="W322" s="32" t="str">
        <f t="shared" si="260"/>
        <v>1-0.168406961351436i</v>
      </c>
      <c r="X322" s="18">
        <f t="shared" si="273"/>
        <v>1.0140813106608484</v>
      </c>
      <c r="Y322" s="18">
        <f t="shared" si="274"/>
        <v>-0.16684145777110954</v>
      </c>
      <c r="Z322" s="32" t="str">
        <f t="shared" si="261"/>
        <v>0.999519094226153+0.0826535625166436i</v>
      </c>
      <c r="AA322" s="18">
        <f t="shared" si="275"/>
        <v>1.0029307209969003</v>
      </c>
      <c r="AB322" s="18">
        <f t="shared" si="276"/>
        <v>8.2505609005646907E-2</v>
      </c>
      <c r="AC322" s="68" t="str">
        <f t="shared" si="277"/>
        <v>-0.0813640377050302-0.904094316481308i</v>
      </c>
      <c r="AD322" s="66">
        <f t="shared" si="278"/>
        <v>-0.84069288807113896</v>
      </c>
      <c r="AE322" s="63">
        <f t="shared" si="279"/>
        <v>-95.142484761930163</v>
      </c>
      <c r="AF322" s="51" t="e">
        <f t="shared" si="280"/>
        <v>#NUM!</v>
      </c>
      <c r="AG322" s="51" t="str">
        <f t="shared" si="262"/>
        <v>1-36.5825849226597i</v>
      </c>
      <c r="AH322" s="51">
        <f t="shared" si="281"/>
        <v>36.596250075979221</v>
      </c>
      <c r="AI322" s="51">
        <f t="shared" si="282"/>
        <v>-1.5434677211531147</v>
      </c>
      <c r="AJ322" s="51" t="str">
        <f t="shared" si="263"/>
        <v>1+0.121941949742199i</v>
      </c>
      <c r="AK322" s="51">
        <f t="shared" si="283"/>
        <v>1.0074074841428016</v>
      </c>
      <c r="AL322" s="51">
        <f t="shared" si="284"/>
        <v>0.12134286663130278</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-0.000170731707317073</v>
      </c>
      <c r="AT322" s="32" t="str">
        <f t="shared" si="266"/>
        <v>0.00261796276282686i</v>
      </c>
      <c r="AU322" s="32">
        <f t="shared" si="290"/>
        <v>2.61796276282686E-3</v>
      </c>
      <c r="AV322" s="32">
        <f t="shared" si="291"/>
        <v>1.5707963267948966</v>
      </c>
      <c r="AW322" s="32" t="str">
        <f t="shared" si="267"/>
        <v>1+0.557386753326516i</v>
      </c>
      <c r="AX322" s="32">
        <f t="shared" si="292"/>
        <v>1.1448493319139748</v>
      </c>
      <c r="AY322" s="32">
        <f t="shared" si="293"/>
        <v>0.50849672801222034</v>
      </c>
      <c r="AZ322" s="32" t="str">
        <f t="shared" si="268"/>
        <v>1+10.5903483132038i</v>
      </c>
      <c r="BA322" s="32">
        <f t="shared" si="294"/>
        <v>10.637456340449937</v>
      </c>
      <c r="BB322" s="32">
        <f t="shared" si="295"/>
        <v>1.4766498733478421</v>
      </c>
      <c r="BC322" s="60" t="str">
        <f t="shared" si="296"/>
        <v>-0.499209908209191+0.343468473447702i</v>
      </c>
      <c r="BD322" s="51">
        <f t="shared" si="297"/>
        <v>-4.3511965221591797</v>
      </c>
      <c r="BE322" s="63">
        <f t="shared" si="298"/>
        <v>145.47108915004691</v>
      </c>
      <c r="BF322" s="60" t="str">
        <f t="shared" si="299"/>
        <v>0.351145628528836+0.423386858918997i</v>
      </c>
      <c r="BG322" s="66">
        <f t="shared" si="300"/>
        <v>-5.1918894102303152</v>
      </c>
      <c r="BH322" s="63">
        <f t="shared" si="301"/>
        <v>50.328604388116709</v>
      </c>
      <c r="BI322" s="60" t="e">
        <f t="shared" si="306"/>
        <v>#NUM!</v>
      </c>
      <c r="BJ322" s="66" t="e">
        <f t="shared" si="302"/>
        <v>#NUM!</v>
      </c>
      <c r="BK322" s="63" t="e">
        <f t="shared" si="307"/>
        <v>#NUM!</v>
      </c>
      <c r="BL322" s="51">
        <f t="shared" si="303"/>
        <v>-5.1918894102303152</v>
      </c>
      <c r="BM322" s="63">
        <f t="shared" si="304"/>
        <v>50.328604388116709</v>
      </c>
    </row>
    <row r="323" spans="14:65" x14ac:dyDescent="0.3">
      <c r="N323" s="11">
        <v>5</v>
      </c>
      <c r="O323" s="52">
        <f t="shared" si="308"/>
        <v>11220.184543019639</v>
      </c>
      <c r="P323" s="50" t="str">
        <f t="shared" si="257"/>
        <v>23.3035714285714</v>
      </c>
      <c r="Q323" s="18" t="str">
        <f t="shared" si="258"/>
        <v>1+26.7390734220522i</v>
      </c>
      <c r="R323" s="18">
        <f t="shared" si="269"/>
        <v>26.757766115090746</v>
      </c>
      <c r="S323" s="18">
        <f t="shared" si="270"/>
        <v>1.5334152941654671</v>
      </c>
      <c r="T323" s="18" t="str">
        <f t="shared" si="259"/>
        <v>1+0.124782342636244i</v>
      </c>
      <c r="U323" s="18">
        <f t="shared" si="271"/>
        <v>1.007755244607434</v>
      </c>
      <c r="V323" s="18">
        <f t="shared" si="272"/>
        <v>0.12414068001992774</v>
      </c>
      <c r="W323" s="32" t="str">
        <f t="shared" si="260"/>
        <v>1-0.17232966340222i</v>
      </c>
      <c r="X323" s="18">
        <f t="shared" si="273"/>
        <v>1.0147401208626385</v>
      </c>
      <c r="Y323" s="18">
        <f t="shared" si="274"/>
        <v>-0.1706535093098735</v>
      </c>
      <c r="Z323" s="32" t="str">
        <f t="shared" si="261"/>
        <v>0.999496429835282+0.0845788113103206i</v>
      </c>
      <c r="AA323" s="18">
        <f t="shared" si="275"/>
        <v>1.0030686360245451</v>
      </c>
      <c r="AB323" s="18">
        <f t="shared" si="276"/>
        <v>8.4420302257785573E-2</v>
      </c>
      <c r="AC323" s="68" t="str">
        <f t="shared" si="277"/>
        <v>-0.0829414721268605-0.883992598736471i</v>
      </c>
      <c r="AD323" s="66">
        <f t="shared" si="278"/>
        <v>-1.0329624173286964</v>
      </c>
      <c r="AE323" s="63">
        <f t="shared" si="279"/>
        <v>-95.360140432609086</v>
      </c>
      <c r="AF323" s="51" t="e">
        <f t="shared" si="280"/>
        <v>#NUM!</v>
      </c>
      <c r="AG323" s="51" t="str">
        <f t="shared" si="262"/>
        <v>1-37.4347027908732i</v>
      </c>
      <c r="AH323" s="51">
        <f t="shared" si="281"/>
        <v>37.448056999542843</v>
      </c>
      <c r="AI323" s="51">
        <f t="shared" si="282"/>
        <v>-1.5440894969666303</v>
      </c>
      <c r="AJ323" s="51" t="str">
        <f t="shared" si="263"/>
        <v>1+0.124782342636244i</v>
      </c>
      <c r="AK323" s="51">
        <f t="shared" si="283"/>
        <v>1.007755244607434</v>
      </c>
      <c r="AL323" s="51">
        <f t="shared" si="284"/>
        <v>0.12414068001992774</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-0.000170731707317073</v>
      </c>
      <c r="AT323" s="32" t="str">
        <f t="shared" si="266"/>
        <v>0.00267894294925269i</v>
      </c>
      <c r="AU323" s="32">
        <f t="shared" si="290"/>
        <v>2.67894294925269E-3</v>
      </c>
      <c r="AV323" s="32">
        <f t="shared" si="291"/>
        <v>1.5707963267948966</v>
      </c>
      <c r="AW323" s="32" t="str">
        <f t="shared" si="267"/>
        <v>1+0.570369958669146i</v>
      </c>
      <c r="AX323" s="32">
        <f t="shared" si="292"/>
        <v>1.151226254804955</v>
      </c>
      <c r="AY323" s="32">
        <f t="shared" si="293"/>
        <v>0.51834771917661526</v>
      </c>
      <c r="AZ323" s="32" t="str">
        <f t="shared" si="268"/>
        <v>1+10.8370292147138i</v>
      </c>
      <c r="BA323" s="32">
        <f t="shared" si="294"/>
        <v>10.883069521075404</v>
      </c>
      <c r="BB323" s="32">
        <f t="shared" si="295"/>
        <v>1.4787806928427023</v>
      </c>
      <c r="BC323" s="60" t="str">
        <f t="shared" si="296"/>
        <v>-0.493694734802563+0.345319643326292i</v>
      </c>
      <c r="BD323" s="51">
        <f t="shared" si="297"/>
        <v>-4.4011712752706007</v>
      </c>
      <c r="BE323" s="63">
        <f t="shared" si="298"/>
        <v>145.02875589626615</v>
      </c>
      <c r="BF323" s="60" t="str">
        <f t="shared" si="299"/>
        <v>0.346207776984565+0.407781172028825i</v>
      </c>
      <c r="BG323" s="66">
        <f t="shared" si="300"/>
        <v>-5.4341336925992989</v>
      </c>
      <c r="BH323" s="63">
        <f t="shared" si="301"/>
        <v>49.668615463656984</v>
      </c>
      <c r="BI323" s="60" t="e">
        <f t="shared" si="306"/>
        <v>#NUM!</v>
      </c>
      <c r="BJ323" s="66" t="e">
        <f t="shared" si="302"/>
        <v>#NUM!</v>
      </c>
      <c r="BK323" s="63" t="e">
        <f t="shared" si="307"/>
        <v>#NUM!</v>
      </c>
      <c r="BL323" s="51">
        <f t="shared" si="303"/>
        <v>-5.4341336925992989</v>
      </c>
      <c r="BM323" s="63">
        <f t="shared" si="304"/>
        <v>49.668615463656984</v>
      </c>
    </row>
    <row r="324" spans="14:65" x14ac:dyDescent="0.3">
      <c r="N324" s="11">
        <v>6</v>
      </c>
      <c r="O324" s="52">
        <f t="shared" si="308"/>
        <v>11481.536214968832</v>
      </c>
      <c r="P324" s="50" t="str">
        <f t="shared" si="257"/>
        <v>23.3035714285714</v>
      </c>
      <c r="Q324" s="18" t="str">
        <f t="shared" si="258"/>
        <v>1+27.3619064528666i</v>
      </c>
      <c r="R324" s="18">
        <f t="shared" si="269"/>
        <v>27.380173935448671</v>
      </c>
      <c r="S324" s="18">
        <f t="shared" si="270"/>
        <v>1.5342654247344254</v>
      </c>
      <c r="T324" s="18" t="str">
        <f t="shared" si="259"/>
        <v>1+0.127688896780044i</v>
      </c>
      <c r="U324" s="18">
        <f t="shared" si="271"/>
        <v>1.0081192659407441</v>
      </c>
      <c r="V324" s="18">
        <f t="shared" si="272"/>
        <v>0.1270016416178763</v>
      </c>
      <c r="W324" s="32" t="str">
        <f t="shared" si="260"/>
        <v>1-0.176343736921593i</v>
      </c>
      <c r="X324" s="18">
        <f t="shared" si="273"/>
        <v>1.0154295217057026</v>
      </c>
      <c r="Y324" s="18">
        <f t="shared" si="274"/>
        <v>-0.17454917610434323</v>
      </c>
      <c r="Z324" s="32" t="str">
        <f t="shared" si="261"/>
        <v>0.999472697304577+0.0865489049092873i</v>
      </c>
      <c r="AA324" s="18">
        <f t="shared" si="275"/>
        <v>1.00321303101499</v>
      </c>
      <c r="AB324" s="18">
        <f t="shared" si="276"/>
        <v>8.6379088549921212E-2</v>
      </c>
      <c r="AC324" s="68" t="str">
        <f t="shared" si="277"/>
        <v>-0.084451596236601-0.864354126569497i</v>
      </c>
      <c r="AD324" s="66">
        <f t="shared" si="278"/>
        <v>-1.2249036532351054</v>
      </c>
      <c r="AE324" s="63">
        <f t="shared" si="279"/>
        <v>-95.580363754553829</v>
      </c>
      <c r="AF324" s="51" t="e">
        <f t="shared" si="280"/>
        <v>#NUM!</v>
      </c>
      <c r="AG324" s="51" t="str">
        <f t="shared" si="262"/>
        <v>1-38.3066690340134i</v>
      </c>
      <c r="AH324" s="51">
        <f t="shared" si="281"/>
        <v>38.319719368511059</v>
      </c>
      <c r="AI324" s="51">
        <f t="shared" si="282"/>
        <v>-1.5446971393938793</v>
      </c>
      <c r="AJ324" s="51" t="str">
        <f t="shared" si="263"/>
        <v>1+0.127688896780044i</v>
      </c>
      <c r="AK324" s="51">
        <f t="shared" si="283"/>
        <v>1.0081192659407441</v>
      </c>
      <c r="AL324" s="51">
        <f t="shared" si="284"/>
        <v>0.1270016416178763</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-0.000170731707317073</v>
      </c>
      <c r="AT324" s="32" t="str">
        <f t="shared" si="266"/>
        <v>0.00274134354669021i</v>
      </c>
      <c r="AU324" s="32">
        <f t="shared" si="290"/>
        <v>2.7413435466902098E-3</v>
      </c>
      <c r="AV324" s="32">
        <f t="shared" si="291"/>
        <v>1.5707963267948966</v>
      </c>
      <c r="AW324" s="32" t="str">
        <f t="shared" si="267"/>
        <v>1+0.5836555817136i</v>
      </c>
      <c r="AX324" s="32">
        <f t="shared" si="292"/>
        <v>1.1578660708671968</v>
      </c>
      <c r="AY324" s="32">
        <f t="shared" si="293"/>
        <v>0.52831484872947565</v>
      </c>
      <c r="AZ324" s="32" t="str">
        <f t="shared" si="268"/>
        <v>1+11.0894560525584i</v>
      </c>
      <c r="BA324" s="32">
        <f t="shared" si="294"/>
        <v>11.134452637719741</v>
      </c>
      <c r="BB324" s="32">
        <f t="shared" si="295"/>
        <v>1.4808638189664545</v>
      </c>
      <c r="BC324" s="60" t="str">
        <f t="shared" si="296"/>
        <v>-0.488048756742026+0.347132684240508i</v>
      </c>
      <c r="BD324" s="51">
        <f t="shared" si="297"/>
        <v>-4.4527747466090997</v>
      </c>
      <c r="BE324" s="63">
        <f t="shared" si="298"/>
        <v>144.57703577411152</v>
      </c>
      <c r="BF324" s="60" t="str">
        <f t="shared" si="299"/>
        <v>0.341262064638582+0.392531047567076i</v>
      </c>
      <c r="BG324" s="66">
        <f t="shared" si="300"/>
        <v>-5.6776783998442042</v>
      </c>
      <c r="BH324" s="63">
        <f t="shared" si="301"/>
        <v>48.996672019557707</v>
      </c>
      <c r="BI324" s="60" t="e">
        <f t="shared" si="306"/>
        <v>#NUM!</v>
      </c>
      <c r="BJ324" s="66" t="e">
        <f t="shared" si="302"/>
        <v>#NUM!</v>
      </c>
      <c r="BK324" s="63" t="e">
        <f t="shared" si="307"/>
        <v>#NUM!</v>
      </c>
      <c r="BL324" s="51">
        <f t="shared" si="303"/>
        <v>-5.6776783998442042</v>
      </c>
      <c r="BM324" s="63">
        <f t="shared" si="304"/>
        <v>48.996672019557707</v>
      </c>
    </row>
    <row r="325" spans="14:65" x14ac:dyDescent="0.3">
      <c r="N325" s="11">
        <v>7</v>
      </c>
      <c r="O325" s="52">
        <f t="shared" si="308"/>
        <v>11748.975549395318</v>
      </c>
      <c r="P325" s="50" t="str">
        <f t="shared" si="257"/>
        <v>23.3035714285714</v>
      </c>
      <c r="Q325" s="18" t="str">
        <f t="shared" si="258"/>
        <v>1+27.99924712866i</v>
      </c>
      <c r="R325" s="18">
        <f t="shared" si="269"/>
        <v>28.017099060605382</v>
      </c>
      <c r="S325" s="18">
        <f t="shared" si="270"/>
        <v>1.5350962550180463</v>
      </c>
      <c r="T325" s="18" t="str">
        <f t="shared" si="259"/>
        <v>1+0.13066315326708i</v>
      </c>
      <c r="U325" s="18">
        <f t="shared" si="271"/>
        <v>1.0085003022417478</v>
      </c>
      <c r="V325" s="18">
        <f t="shared" si="272"/>
        <v>0.12992708090682262</v>
      </c>
      <c r="W325" s="32" t="str">
        <f t="shared" si="260"/>
        <v>1-0.180451310224467i</v>
      </c>
      <c r="X325" s="18">
        <f t="shared" si="273"/>
        <v>1.0161509117063896</v>
      </c>
      <c r="Y325" s="18">
        <f t="shared" si="274"/>
        <v>-0.1785300504808513</v>
      </c>
      <c r="Z325" s="32" t="str">
        <f t="shared" si="261"/>
        <v>0.999447846294159+0.0885648878832472i</v>
      </c>
      <c r="AA325" s="18">
        <f t="shared" si="275"/>
        <v>1.0033642094612529</v>
      </c>
      <c r="AB325" s="18">
        <f t="shared" si="276"/>
        <v>8.8382959069539746E-2</v>
      </c>
      <c r="AC325" s="68" t="str">
        <f t="shared" si="277"/>
        <v>-0.0858975845005271-0.845168812010356i</v>
      </c>
      <c r="AD325" s="66">
        <f t="shared" si="278"/>
        <v>-1.4165008519173554</v>
      </c>
      <c r="AE325" s="63">
        <f t="shared" si="279"/>
        <v>-95.803252122829093</v>
      </c>
      <c r="AF325" s="51" t="e">
        <f t="shared" si="280"/>
        <v>#NUM!</v>
      </c>
      <c r="AG325" s="51" t="str">
        <f t="shared" si="262"/>
        <v>1-39.1989459801241i</v>
      </c>
      <c r="AH325" s="51">
        <f t="shared" si="281"/>
        <v>39.211699350483237</v>
      </c>
      <c r="AI325" s="51">
        <f t="shared" si="282"/>
        <v>-1.5452909688190166</v>
      </c>
      <c r="AJ325" s="51" t="str">
        <f t="shared" si="263"/>
        <v>1+0.13066315326708i</v>
      </c>
      <c r="AK325" s="51">
        <f t="shared" si="283"/>
        <v>1.0085003022417478</v>
      </c>
      <c r="AL325" s="51">
        <f t="shared" si="284"/>
        <v>0.12992708090682262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-0.000170731707317073</v>
      </c>
      <c r="AT325" s="32" t="str">
        <f t="shared" si="266"/>
        <v>0.00280519764076217i</v>
      </c>
      <c r="AU325" s="32">
        <f t="shared" si="290"/>
        <v>2.80519764076217E-3</v>
      </c>
      <c r="AV325" s="32">
        <f t="shared" si="291"/>
        <v>1.5707963267948966</v>
      </c>
      <c r="AW325" s="32" t="str">
        <f t="shared" si="267"/>
        <v>1+0.597250666673075i</v>
      </c>
      <c r="AX325" s="32">
        <f t="shared" si="292"/>
        <v>1.1647782444918142</v>
      </c>
      <c r="AY325" s="32">
        <f t="shared" si="293"/>
        <v>0.53839547939014387</v>
      </c>
      <c r="AZ325" s="32" t="str">
        <f t="shared" si="268"/>
        <v>1+11.3477626667884i</v>
      </c>
      <c r="BA325" s="32">
        <f t="shared" si="294"/>
        <v>11.391739004285366</v>
      </c>
      <c r="BB325" s="32">
        <f t="shared" si="295"/>
        <v>1.4829002838637877</v>
      </c>
      <c r="BC325" s="60" t="str">
        <f t="shared" si="296"/>
        <v>-0.482273463287281+0.348900777905709i</v>
      </c>
      <c r="BD325" s="51">
        <f t="shared" si="297"/>
        <v>-4.5060501150590699</v>
      </c>
      <c r="BE325" s="63">
        <f t="shared" si="298"/>
        <v>144.11613902616881</v>
      </c>
      <c r="BF325" s="60" t="str">
        <f t="shared" si="299"/>
        <v>0.336306181537138+0.377632755978176i</v>
      </c>
      <c r="BG325" s="66">
        <f t="shared" si="300"/>
        <v>-5.9225509669764289</v>
      </c>
      <c r="BH325" s="63">
        <f t="shared" si="301"/>
        <v>48.312886903339709</v>
      </c>
      <c r="BI325" s="60" t="e">
        <f t="shared" si="306"/>
        <v>#NUM!</v>
      </c>
      <c r="BJ325" s="66" t="e">
        <f t="shared" si="302"/>
        <v>#NUM!</v>
      </c>
      <c r="BK325" s="63" t="e">
        <f t="shared" si="307"/>
        <v>#NUM!</v>
      </c>
      <c r="BL325" s="51">
        <f t="shared" si="303"/>
        <v>-5.9225509669764289</v>
      </c>
      <c r="BM325" s="63">
        <f t="shared" si="304"/>
        <v>48.312886903339709</v>
      </c>
    </row>
    <row r="326" spans="14:65" x14ac:dyDescent="0.3">
      <c r="N326" s="11">
        <v>8</v>
      </c>
      <c r="O326" s="52">
        <f t="shared" si="308"/>
        <v>12022.644346174151</v>
      </c>
      <c r="P326" s="50" t="str">
        <f t="shared" si="257"/>
        <v>23.3035714285714</v>
      </c>
      <c r="Q326" s="18" t="str">
        <f t="shared" si="258"/>
        <v>1+28.6514333758948i</v>
      </c>
      <c r="R326" s="18">
        <f t="shared" si="269"/>
        <v>28.668879198415453</v>
      </c>
      <c r="S326" s="18">
        <f t="shared" si="270"/>
        <v>1.535908220942886</v>
      </c>
      <c r="T326" s="18" t="str">
        <f t="shared" si="259"/>
        <v>1+0.133706689087509i</v>
      </c>
      <c r="U326" s="18">
        <f t="shared" si="271"/>
        <v>1.008899141989299</v>
      </c>
      <c r="V326" s="18">
        <f t="shared" si="272"/>
        <v>0.13291834859506924</v>
      </c>
      <c r="W326" s="32" t="str">
        <f t="shared" si="260"/>
        <v>1-0.184654561200577i</v>
      </c>
      <c r="X326" s="18">
        <f t="shared" si="273"/>
        <v>1.016905751273036</v>
      </c>
      <c r="Y326" s="18">
        <f t="shared" si="274"/>
        <v>-0.18259773821094258</v>
      </c>
      <c r="Z326" s="32" t="str">
        <f t="shared" si="261"/>
        <v>0.999421824091702+0.0906278291330574i</v>
      </c>
      <c r="AA326" s="18">
        <f t="shared" si="275"/>
        <v>1.0035224889777783</v>
      </c>
      <c r="AB326" s="18">
        <f t="shared" si="276"/>
        <v>9.0432925563864772E-2</v>
      </c>
      <c r="AC326" s="68" t="str">
        <f t="shared" si="277"/>
        <v>-0.087282477281836-0.826426783062567i</v>
      </c>
      <c r="AD326" s="66">
        <f t="shared" si="278"/>
        <v>-1.6077376645219212</v>
      </c>
      <c r="AE326" s="63">
        <f t="shared" si="279"/>
        <v>-96.028903097079905</v>
      </c>
      <c r="AF326" s="51" t="e">
        <f t="shared" si="280"/>
        <v>#NUM!</v>
      </c>
      <c r="AG326" s="51" t="str">
        <f t="shared" si="262"/>
        <v>1-40.1120067262528i</v>
      </c>
      <c r="AH326" s="51">
        <f t="shared" si="281"/>
        <v>40.124469885681357</v>
      </c>
      <c r="AI326" s="51">
        <f t="shared" si="282"/>
        <v>-1.5458712984220715</v>
      </c>
      <c r="AJ326" s="51" t="str">
        <f t="shared" si="263"/>
        <v>1+0.133706689087509i</v>
      </c>
      <c r="AK326" s="51">
        <f t="shared" si="283"/>
        <v>1.008899141989299</v>
      </c>
      <c r="AL326" s="51">
        <f t="shared" si="284"/>
        <v>0.13291834859506924</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-0.000170731707317073</v>
      </c>
      <c r="AT326" s="32" t="str">
        <f t="shared" si="266"/>
        <v>0.00287053908775443i</v>
      </c>
      <c r="AU326" s="32">
        <f t="shared" si="290"/>
        <v>2.8705390877544301E-3</v>
      </c>
      <c r="AV326" s="32">
        <f t="shared" si="291"/>
        <v>1.5707963267948966</v>
      </c>
      <c r="AW326" s="32" t="str">
        <f t="shared" si="267"/>
        <v>1+0.611162421841566i</v>
      </c>
      <c r="AX326" s="32">
        <f t="shared" si="292"/>
        <v>1.1719724851169708</v>
      </c>
      <c r="AY326" s="32">
        <f t="shared" si="293"/>
        <v>0.54858676042158516</v>
      </c>
      <c r="AZ326" s="32" t="str">
        <f t="shared" si="268"/>
        <v>1+11.6120860149898i</v>
      </c>
      <c r="BA326" s="32">
        <f t="shared" si="294"/>
        <v>11.65506506286094</v>
      </c>
      <c r="BB326" s="32">
        <f t="shared" si="295"/>
        <v>1.48489109969309</v>
      </c>
      <c r="BC326" s="60" t="str">
        <f t="shared" si="296"/>
        <v>-0.476370693020649+0.350617094270769i</v>
      </c>
      <c r="BD326" s="51">
        <f t="shared" si="297"/>
        <v>-4.5610399023191315</v>
      </c>
      <c r="BE326" s="63">
        <f t="shared" si="298"/>
        <v>143.64628698004236</v>
      </c>
      <c r="BF326" s="60" t="str">
        <f t="shared" si="299"/>
        <v>0.331338171496244+0.363082770813029i</v>
      </c>
      <c r="BG326" s="66">
        <f t="shared" si="300"/>
        <v>-6.1687775668410447</v>
      </c>
      <c r="BH326" s="63">
        <f t="shared" si="301"/>
        <v>47.61738388296245</v>
      </c>
      <c r="BI326" s="60" t="e">
        <f t="shared" si="306"/>
        <v>#NUM!</v>
      </c>
      <c r="BJ326" s="66" t="e">
        <f t="shared" si="302"/>
        <v>#NUM!</v>
      </c>
      <c r="BK326" s="63" t="e">
        <f t="shared" si="307"/>
        <v>#NUM!</v>
      </c>
      <c r="BL326" s="51">
        <f t="shared" si="303"/>
        <v>-6.1687775668410447</v>
      </c>
      <c r="BM326" s="63">
        <f t="shared" si="304"/>
        <v>47.61738388296245</v>
      </c>
    </row>
    <row r="327" spans="14:65" x14ac:dyDescent="0.3">
      <c r="N327" s="11">
        <v>9</v>
      </c>
      <c r="O327" s="52">
        <f t="shared" si="308"/>
        <v>12302.687708123816</v>
      </c>
      <c r="P327" s="50" t="str">
        <f t="shared" si="257"/>
        <v>23.3035714285714</v>
      </c>
      <c r="Q327" s="18" t="str">
        <f t="shared" si="258"/>
        <v>1+29.318810992352i</v>
      </c>
      <c r="R327" s="18">
        <f t="shared" si="269"/>
        <v>29.335859932943169</v>
      </c>
      <c r="S327" s="18">
        <f t="shared" si="270"/>
        <v>1.5367017487390198</v>
      </c>
      <c r="T327" s="18" t="str">
        <f t="shared" si="259"/>
        <v>1+0.13682111796431i</v>
      </c>
      <c r="U327" s="18">
        <f t="shared" si="271"/>
        <v>1.0093166095537136</v>
      </c>
      <c r="V327" s="18">
        <f t="shared" si="272"/>
        <v>0.13597681645960996</v>
      </c>
      <c r="W327" s="32" t="str">
        <f t="shared" si="260"/>
        <v>1-0.188955718469228i</v>
      </c>
      <c r="X327" s="18">
        <f t="shared" si="273"/>
        <v>1.0176955652562421</v>
      </c>
      <c r="Y327" s="18">
        <f t="shared" si="274"/>
        <v>-0.18675385733733987</v>
      </c>
      <c r="Z327" s="32" t="str">
        <f t="shared" si="261"/>
        <v>0.999394575500625+0.0927388224574752i</v>
      </c>
      <c r="AA327" s="18">
        <f t="shared" si="275"/>
        <v>1.00368820194863</v>
      </c>
      <c r="AB327" s="18">
        <f t="shared" si="276"/>
        <v>9.2530020642480809E-2</v>
      </c>
      <c r="AC327" s="68" t="str">
        <f t="shared" si="277"/>
        <v>-0.0886091870646446-0.808118379890575i</v>
      </c>
      <c r="AD327" s="66">
        <f t="shared" si="278"/>
        <v>-1.7985971138968342</v>
      </c>
      <c r="AE327" s="63">
        <f t="shared" si="279"/>
        <v>-96.257414372648626</v>
      </c>
      <c r="AF327" s="51" t="e">
        <f t="shared" si="280"/>
        <v>#NUM!</v>
      </c>
      <c r="AG327" s="51" t="str">
        <f t="shared" si="262"/>
        <v>1-41.0463353892929i</v>
      </c>
      <c r="AH327" s="51">
        <f t="shared" si="281"/>
        <v>41.05851493771199</v>
      </c>
      <c r="AI327" s="51">
        <f t="shared" si="282"/>
        <v>-1.546438434337027</v>
      </c>
      <c r="AJ327" s="51" t="str">
        <f t="shared" si="263"/>
        <v>1+0.13682111796431i</v>
      </c>
      <c r="AK327" s="51">
        <f t="shared" si="283"/>
        <v>1.0093166095537136</v>
      </c>
      <c r="AL327" s="51">
        <f t="shared" si="284"/>
        <v>0.13597681645960996</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-0.000170731707317073</v>
      </c>
      <c r="AT327" s="32" t="str">
        <f t="shared" si="266"/>
        <v>0.00293740253256709i</v>
      </c>
      <c r="AU327" s="32">
        <f t="shared" si="290"/>
        <v>2.9374025325670898E-3</v>
      </c>
      <c r="AV327" s="32">
        <f t="shared" si="291"/>
        <v>1.5707963267948966</v>
      </c>
      <c r="AW327" s="32" t="str">
        <f t="shared" si="267"/>
        <v>1+0.625398223415808i</v>
      </c>
      <c r="AX327" s="32">
        <f t="shared" si="292"/>
        <v>1.1794587478380281</v>
      </c>
      <c r="AY327" s="32">
        <f t="shared" si="293"/>
        <v>0.55888562699833877</v>
      </c>
      <c r="AZ327" s="32" t="str">
        <f t="shared" si="268"/>
        <v>1+11.8825662449004i</v>
      </c>
      <c r="BA327" s="32">
        <f t="shared" si="294"/>
        <v>11.924570456181906</v>
      </c>
      <c r="BB327" s="32">
        <f t="shared" si="295"/>
        <v>1.4868372588538898</v>
      </c>
      <c r="BC327" s="60" t="str">
        <f t="shared" si="296"/>
        <v>-0.470342642685289+0.352274813966746i</v>
      </c>
      <c r="BD327" s="51">
        <f t="shared" si="297"/>
        <v>-4.6177858710114696</v>
      </c>
      <c r="BE327" s="63">
        <f t="shared" si="298"/>
        <v>143.16771209760066</v>
      </c>
      <c r="BF327" s="60" t="str">
        <f t="shared" si="299"/>
        <v>0.326356431149241+0.348877749511345i</v>
      </c>
      <c r="BG327" s="66">
        <f t="shared" si="300"/>
        <v>-6.4163829849083012</v>
      </c>
      <c r="BH327" s="63">
        <f t="shared" si="301"/>
        <v>46.910297724951974</v>
      </c>
      <c r="BI327" s="60" t="e">
        <f t="shared" si="306"/>
        <v>#NUM!</v>
      </c>
      <c r="BJ327" s="66" t="e">
        <f t="shared" si="302"/>
        <v>#NUM!</v>
      </c>
      <c r="BK327" s="63" t="e">
        <f t="shared" si="307"/>
        <v>#NUM!</v>
      </c>
      <c r="BL327" s="51">
        <f t="shared" si="303"/>
        <v>-6.4163829849083012</v>
      </c>
      <c r="BM327" s="63">
        <f t="shared" si="304"/>
        <v>46.910297724951974</v>
      </c>
    </row>
    <row r="328" spans="14:65" x14ac:dyDescent="0.3">
      <c r="N328" s="11">
        <v>10</v>
      </c>
      <c r="O328" s="52">
        <f t="shared" si="308"/>
        <v>12589.254117941671</v>
      </c>
      <c r="P328" s="50" t="str">
        <f t="shared" si="257"/>
        <v>23.3035714285714</v>
      </c>
      <c r="Q328" s="18" t="str">
        <f t="shared" si="258"/>
        <v>1+30.0017338304777i</v>
      </c>
      <c r="R328" s="18">
        <f t="shared" si="269"/>
        <v>30.018394907703343</v>
      </c>
      <c r="S328" s="18">
        <f t="shared" si="270"/>
        <v>1.5374772551457161</v>
      </c>
      <c r="T328" s="18" t="str">
        <f t="shared" si="259"/>
        <v>1+0.140008091208896i</v>
      </c>
      <c r="U328" s="18">
        <f t="shared" si="271"/>
        <v>1.0097535667696147</v>
      </c>
      <c r="V328" s="18">
        <f t="shared" si="272"/>
        <v>0.13910387714302325</v>
      </c>
      <c r="W328" s="32" t="str">
        <f t="shared" si="260"/>
        <v>1-0.193357062560936i</v>
      </c>
      <c r="X328" s="18">
        <f t="shared" si="273"/>
        <v>1.0185219455869343</v>
      </c>
      <c r="Y328" s="18">
        <f t="shared" si="274"/>
        <v>-0.19100003688910114</v>
      </c>
      <c r="Z328" s="32" t="str">
        <f t="shared" si="261"/>
        <v>0.999366042723016+0.0948989871331033i</v>
      </c>
      <c r="AA328" s="18">
        <f t="shared" si="275"/>
        <v>1.0038616962045868</v>
      </c>
      <c r="AB328" s="18">
        <f t="shared" si="276"/>
        <v>9.4675298074938186E-2</v>
      </c>
      <c r="AC328" s="68" t="str">
        <f t="shared" si="277"/>
        <v>-0.0898805044212535-0.790234151013035i</v>
      </c>
      <c r="AD328" s="66">
        <f t="shared" si="278"/>
        <v>-1.9890615709335491</v>
      </c>
      <c r="AE328" s="63">
        <f t="shared" si="279"/>
        <v>-96.488883747431942</v>
      </c>
      <c r="AF328" s="51" t="e">
        <f t="shared" si="280"/>
        <v>#NUM!</v>
      </c>
      <c r="AG328" s="51" t="str">
        <f t="shared" si="262"/>
        <v>1-42.0024273626689i</v>
      </c>
      <c r="AH328" s="51">
        <f t="shared" si="281"/>
        <v>42.014329750173054</v>
      </c>
      <c r="AI328" s="51">
        <f t="shared" si="282"/>
        <v>-1.5469926758066928</v>
      </c>
      <c r="AJ328" s="51" t="str">
        <f t="shared" si="263"/>
        <v>1+0.140008091208896i</v>
      </c>
      <c r="AK328" s="51">
        <f t="shared" si="283"/>
        <v>1.0097535667696147</v>
      </c>
      <c r="AL328" s="51">
        <f t="shared" si="284"/>
        <v>0.13910387714302325</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-0.000170731707317073</v>
      </c>
      <c r="AT328" s="32" t="str">
        <f t="shared" si="266"/>
        <v>0.00300582342708365i</v>
      </c>
      <c r="AU328" s="32">
        <f t="shared" si="290"/>
        <v>3.00582342708365E-3</v>
      </c>
      <c r="AV328" s="32">
        <f t="shared" si="291"/>
        <v>1.5707963267948966</v>
      </c>
      <c r="AW328" s="32" t="str">
        <f t="shared" si="267"/>
        <v>1+0.639965619406229i</v>
      </c>
      <c r="AX328" s="32">
        <f t="shared" si="292"/>
        <v>1.1872472337394593</v>
      </c>
      <c r="AY328" s="32">
        <f t="shared" si="293"/>
        <v>0.56928880040085561</v>
      </c>
      <c r="AZ328" s="32" t="str">
        <f t="shared" si="268"/>
        <v>1+12.1593467687184i</v>
      </c>
      <c r="BA328" s="32">
        <f t="shared" si="294"/>
        <v>12.200398101781049</v>
      </c>
      <c r="BB328" s="32">
        <f t="shared" si="295"/>
        <v>1.4887397342236004</v>
      </c>
      <c r="BC328" s="60" t="str">
        <f t="shared" si="296"/>
        <v>-0.464191874366257+0.353867152016826i</v>
      </c>
      <c r="BD328" s="51">
        <f t="shared" si="297"/>
        <v>-4.6763289200915708</v>
      </c>
      <c r="BE328" s="63">
        <f t="shared" si="298"/>
        <v>142.68065797740559</v>
      </c>
      <c r="BF328" s="60" t="str">
        <f t="shared" si="299"/>
        <v>0.321359708261703+0.335014513625584i</v>
      </c>
      <c r="BG328" s="66">
        <f t="shared" si="300"/>
        <v>-6.6653904910251214</v>
      </c>
      <c r="BH328" s="63">
        <f t="shared" si="301"/>
        <v>46.191774229973689</v>
      </c>
      <c r="BI328" s="60" t="e">
        <f t="shared" si="306"/>
        <v>#NUM!</v>
      </c>
      <c r="BJ328" s="66" t="e">
        <f t="shared" si="302"/>
        <v>#NUM!</v>
      </c>
      <c r="BK328" s="63" t="e">
        <f t="shared" si="307"/>
        <v>#NUM!</v>
      </c>
      <c r="BL328" s="51">
        <f t="shared" si="303"/>
        <v>-6.6653904910251214</v>
      </c>
      <c r="BM328" s="63">
        <f t="shared" si="304"/>
        <v>46.191774229973689</v>
      </c>
    </row>
    <row r="329" spans="14:65" x14ac:dyDescent="0.3">
      <c r="N329" s="11">
        <v>11</v>
      </c>
      <c r="O329" s="52">
        <f t="shared" si="308"/>
        <v>12882.49551693136</v>
      </c>
      <c r="P329" s="50" t="str">
        <f t="shared" si="257"/>
        <v>23.3035714285714</v>
      </c>
      <c r="Q329" s="18" t="str">
        <f t="shared" si="258"/>
        <v>1+30.7005639850004i</v>
      </c>
      <c r="R329" s="18">
        <f t="shared" si="269"/>
        <v>30.71684601317498</v>
      </c>
      <c r="S329" s="18">
        <f t="shared" si="270"/>
        <v>1.5382351476134248</v>
      </c>
      <c r="T329" s="18" t="str">
        <f t="shared" si="259"/>
        <v>1+0.143269298596668i</v>
      </c>
      <c r="U329" s="18">
        <f t="shared" si="271"/>
        <v>1.0102109145719922</v>
      </c>
      <c r="V329" s="18">
        <f t="shared" si="272"/>
        <v>0.14230094390179471</v>
      </c>
      <c r="W329" s="32" t="str">
        <f t="shared" si="260"/>
        <v>1-0.197860927126598i</v>
      </c>
      <c r="X329" s="18">
        <f t="shared" si="273"/>
        <v>1.0193865540036307</v>
      </c>
      <c r="Y329" s="18">
        <f t="shared" si="274"/>
        <v>-0.19533791547990159</v>
      </c>
      <c r="Z329" s="32" t="str">
        <f t="shared" si="261"/>
        <v>0.999336165237025+0.0971094685078462i</v>
      </c>
      <c r="AA329" s="18">
        <f t="shared" si="275"/>
        <v>1.0040433357303453</v>
      </c>
      <c r="AB329" s="18">
        <f t="shared" si="276"/>
        <v>9.6869833082431592E-2</v>
      </c>
      <c r="AC329" s="68" t="str">
        <f t="shared" si="277"/>
        <v>-0.0910991037335819-0.77276484950616i</v>
      </c>
      <c r="AD329" s="66">
        <f t="shared" si="278"/>
        <v>-2.1791127306003752</v>
      </c>
      <c r="AE329" s="63">
        <f t="shared" si="279"/>
        <v>-96.723409084273328</v>
      </c>
      <c r="AF329" s="51" t="e">
        <f t="shared" si="280"/>
        <v>#NUM!</v>
      </c>
      <c r="AG329" s="51" t="str">
        <f t="shared" si="262"/>
        <v>1-42.9807895790006i</v>
      </c>
      <c r="AH329" s="51">
        <f t="shared" si="281"/>
        <v>42.992421109241185</v>
      </c>
      <c r="AI329" s="51">
        <f t="shared" si="282"/>
        <v>-1.547534315334421</v>
      </c>
      <c r="AJ329" s="51" t="str">
        <f t="shared" si="263"/>
        <v>1+0.143269298596668i</v>
      </c>
      <c r="AK329" s="51">
        <f t="shared" si="283"/>
        <v>1.0102109145719922</v>
      </c>
      <c r="AL329" s="51">
        <f t="shared" si="284"/>
        <v>0.14230094390179471</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-0.000170731707317073</v>
      </c>
      <c r="AT329" s="32" t="str">
        <f t="shared" si="266"/>
        <v>0.00307583804896802i</v>
      </c>
      <c r="AU329" s="32">
        <f t="shared" si="290"/>
        <v>3.0758380489680202E-3</v>
      </c>
      <c r="AV329" s="32">
        <f t="shared" si="291"/>
        <v>1.5707963267948966</v>
      </c>
      <c r="AW329" s="32" t="str">
        <f t="shared" si="267"/>
        <v>1+0.654872333639008i</v>
      </c>
      <c r="AX329" s="32">
        <f t="shared" si="292"/>
        <v>1.1953483899540753</v>
      </c>
      <c r="AY329" s="32">
        <f t="shared" si="293"/>
        <v>0.57979278907814602</v>
      </c>
      <c r="AZ329" s="32" t="str">
        <f t="shared" si="268"/>
        <v>1+12.4425743391412i</v>
      </c>
      <c r="BA329" s="32">
        <f t="shared" si="294"/>
        <v>12.482694267867616</v>
      </c>
      <c r="BB329" s="32">
        <f t="shared" si="295"/>
        <v>1.49059947940245</v>
      </c>
      <c r="BC329" s="60" t="str">
        <f t="shared" si="296"/>
        <v>-0.457921320851966+0.355387382681142i</v>
      </c>
      <c r="BD329" s="51">
        <f t="shared" si="297"/>
        <v>-4.736708978099081</v>
      </c>
      <c r="BE329" s="63">
        <f t="shared" si="298"/>
        <v>142.18537930786164</v>
      </c>
      <c r="BF329" s="60" t="str">
        <f t="shared" si="299"/>
        <v>0.316347099204093+0.321490028553356i</v>
      </c>
      <c r="BG329" s="66">
        <f t="shared" si="300"/>
        <v>-6.915821708699454</v>
      </c>
      <c r="BH329" s="63">
        <f t="shared" si="301"/>
        <v>45.46197022358831</v>
      </c>
      <c r="BI329" s="60" t="e">
        <f t="shared" si="306"/>
        <v>#NUM!</v>
      </c>
      <c r="BJ329" s="66" t="e">
        <f t="shared" si="302"/>
        <v>#NUM!</v>
      </c>
      <c r="BK329" s="63" t="e">
        <f t="shared" si="307"/>
        <v>#NUM!</v>
      </c>
      <c r="BL329" s="51">
        <f t="shared" si="303"/>
        <v>-6.915821708699454</v>
      </c>
      <c r="BM329" s="63">
        <f t="shared" si="304"/>
        <v>45.46197022358831</v>
      </c>
    </row>
    <row r="330" spans="14:65" x14ac:dyDescent="0.3">
      <c r="N330" s="11">
        <v>12</v>
      </c>
      <c r="O330" s="52">
        <f t="shared" si="308"/>
        <v>13182.567385564091</v>
      </c>
      <c r="P330" s="50" t="str">
        <f t="shared" si="257"/>
        <v>23.3035714285714</v>
      </c>
      <c r="Q330" s="18" t="str">
        <f t="shared" si="258"/>
        <v>1+31.4156719849178i</v>
      </c>
      <c r="R330" s="18">
        <f t="shared" si="269"/>
        <v>31.431583578686411</v>
      </c>
      <c r="S330" s="18">
        <f t="shared" si="270"/>
        <v>1.5389758245020997</v>
      </c>
      <c r="T330" s="18" t="str">
        <f t="shared" si="259"/>
        <v>1+0.14660646926295i</v>
      </c>
      <c r="U330" s="18">
        <f t="shared" si="271"/>
        <v>1.0106895946974759</v>
      </c>
      <c r="V330" s="18">
        <f t="shared" si="272"/>
        <v>0.14556945030243423</v>
      </c>
      <c r="W330" s="32" t="str">
        <f t="shared" si="260"/>
        <v>1-0.20246970017482i</v>
      </c>
      <c r="X330" s="18">
        <f t="shared" si="273"/>
        <v>1.0202911248701918</v>
      </c>
      <c r="Y330" s="18">
        <f t="shared" si="274"/>
        <v>-0.19976913978321101</v>
      </c>
      <c r="Z330" s="32" t="str">
        <f t="shared" si="261"/>
        <v>0.9993048796685+0.0993714386081876i</v>
      </c>
      <c r="AA330" s="18">
        <f t="shared" si="275"/>
        <v>1.004233501403103</v>
      </c>
      <c r="AB330" s="18">
        <f t="shared" si="276"/>
        <v>9.9114722622558118E-2</v>
      </c>
      <c r="AC330" s="68" t="str">
        <f t="shared" si="277"/>
        <v>-0.0922675486792871-0.755701429220874i</v>
      </c>
      <c r="AD330" s="66">
        <f t="shared" si="278"/>
        <v>-2.3687315877044042</v>
      </c>
      <c r="AE330" s="63">
        <f t="shared" si="279"/>
        <v>-96.961088268686893</v>
      </c>
      <c r="AF330" s="51" t="e">
        <f t="shared" si="280"/>
        <v>#NUM!</v>
      </c>
      <c r="AG330" s="51" t="str">
        <f t="shared" si="262"/>
        <v>1-43.981940778885i</v>
      </c>
      <c r="AH330" s="51">
        <f t="shared" si="281"/>
        <v>43.993307612378345</v>
      </c>
      <c r="AI330" s="51">
        <f t="shared" si="282"/>
        <v>-1.5480636388327094</v>
      </c>
      <c r="AJ330" s="51" t="str">
        <f t="shared" si="263"/>
        <v>1+0.14660646926295i</v>
      </c>
      <c r="AK330" s="51">
        <f t="shared" si="283"/>
        <v>1.0106895946974759</v>
      </c>
      <c r="AL330" s="51">
        <f t="shared" si="284"/>
        <v>0.14556945030243423</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-0.000170731707317073</v>
      </c>
      <c r="AT330" s="32" t="str">
        <f t="shared" si="266"/>
        <v>0.00314748352089948i</v>
      </c>
      <c r="AU330" s="32">
        <f t="shared" si="290"/>
        <v>3.1474835208994802E-3</v>
      </c>
      <c r="AV330" s="32">
        <f t="shared" si="291"/>
        <v>1.5707963267948966</v>
      </c>
      <c r="AW330" s="32" t="str">
        <f t="shared" si="267"/>
        <v>1+0.67012626985134i</v>
      </c>
      <c r="AX330" s="32">
        <f t="shared" si="292"/>
        <v>1.2037729094579555</v>
      </c>
      <c r="AY330" s="32">
        <f t="shared" si="293"/>
        <v>0.59039389061581593</v>
      </c>
      <c r="AZ330" s="32" t="str">
        <f t="shared" si="268"/>
        <v>1+12.7323991271755i</v>
      </c>
      <c r="BA330" s="32">
        <f t="shared" si="294"/>
        <v>12.771608650976564</v>
      </c>
      <c r="BB330" s="32">
        <f t="shared" si="295"/>
        <v>1.4924174289655836</v>
      </c>
      <c r="BC330" s="60" t="str">
        <f t="shared" si="296"/>
        <v>-0.451534289023018+0.356828865288705i</v>
      </c>
      <c r="BD330" s="51">
        <f t="shared" si="297"/>
        <v>-4.7989648948374377</v>
      </c>
      <c r="BE330" s="63">
        <f t="shared" si="298"/>
        <v>141.68214176889853</v>
      </c>
      <c r="BF330" s="60" t="str">
        <f t="shared" si="299"/>
        <v>0.311318045478736+0.308301382858726i</v>
      </c>
      <c r="BG330" s="66">
        <f t="shared" si="300"/>
        <v>-7.1676964825418317</v>
      </c>
      <c r="BH330" s="63">
        <f t="shared" si="301"/>
        <v>44.721053500211667</v>
      </c>
      <c r="BI330" s="60" t="e">
        <f t="shared" si="306"/>
        <v>#NUM!</v>
      </c>
      <c r="BJ330" s="66" t="e">
        <f t="shared" si="302"/>
        <v>#NUM!</v>
      </c>
      <c r="BK330" s="63" t="e">
        <f t="shared" si="307"/>
        <v>#NUM!</v>
      </c>
      <c r="BL330" s="51">
        <f t="shared" si="303"/>
        <v>-7.1676964825418317</v>
      </c>
      <c r="BM330" s="63">
        <f t="shared" si="304"/>
        <v>44.721053500211667</v>
      </c>
    </row>
    <row r="331" spans="14:65" x14ac:dyDescent="0.3">
      <c r="N331" s="11">
        <v>13</v>
      </c>
      <c r="O331" s="52">
        <f t="shared" si="308"/>
        <v>13489.628825916556</v>
      </c>
      <c r="P331" s="50" t="str">
        <f t="shared" si="257"/>
        <v>23.3035714285714</v>
      </c>
      <c r="Q331" s="18" t="str">
        <f t="shared" si="258"/>
        <v>1+32.1474369899572i</v>
      </c>
      <c r="R331" s="18">
        <f t="shared" si="269"/>
        <v>32.162986568776041</v>
      </c>
      <c r="S331" s="18">
        <f t="shared" si="270"/>
        <v>1.5396996752758765</v>
      </c>
      <c r="T331" s="18" t="str">
        <f t="shared" si="259"/>
        <v>1+0.1500213726198i</v>
      </c>
      <c r="U331" s="18">
        <f t="shared" si="271"/>
        <v>1.0111905914528323</v>
      </c>
      <c r="V331" s="18">
        <f t="shared" si="272"/>
        <v>0.14891084986161118</v>
      </c>
      <c r="W331" s="32" t="str">
        <f t="shared" si="260"/>
        <v>1-0.207185825338079i</v>
      </c>
      <c r="X331" s="18">
        <f t="shared" si="273"/>
        <v>1.0212374680851761</v>
      </c>
      <c r="Y331" s="18">
        <f t="shared" si="274"/>
        <v>-0.20429536287804828</v>
      </c>
      <c r="Z331" s="32" t="str">
        <f t="shared" si="261"/>
        <v>0.999272119656556+0.101686096760616i</v>
      </c>
      <c r="AA331" s="18">
        <f t="shared" si="275"/>
        <v>1.0044325917637857</v>
      </c>
      <c r="AB331" s="18">
        <f t="shared" si="276"/>
        <v>0.10141108566610285</v>
      </c>
      <c r="AC331" s="68" t="str">
        <f t="shared" si="277"/>
        <v>-0.0933882974926474-0.739035041016874i</v>
      </c>
      <c r="AD331" s="66">
        <f t="shared" si="278"/>
        <v>-2.5578984124271722</v>
      </c>
      <c r="AE331" s="63">
        <f t="shared" si="279"/>
        <v>-97.202019161707625</v>
      </c>
      <c r="AF331" s="51" t="e">
        <f t="shared" si="280"/>
        <v>#NUM!</v>
      </c>
      <c r="AG331" s="51" t="str">
        <f t="shared" si="262"/>
        <v>1-45.0064117859401i</v>
      </c>
      <c r="AH331" s="51">
        <f t="shared" si="281"/>
        <v>45.017519943302169</v>
      </c>
      <c r="AI331" s="51">
        <f t="shared" si="282"/>
        <v>-1.548580925768742</v>
      </c>
      <c r="AJ331" s="51" t="str">
        <f t="shared" si="263"/>
        <v>1+0.1500213726198i</v>
      </c>
      <c r="AK331" s="51">
        <f t="shared" si="283"/>
        <v>1.0111905914528323</v>
      </c>
      <c r="AL331" s="51">
        <f t="shared" si="284"/>
        <v>0.14891084986161118</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-0.000170731707317073</v>
      </c>
      <c r="AT331" s="32" t="str">
        <f t="shared" si="266"/>
        <v>0.00322079783025559i</v>
      </c>
      <c r="AU331" s="32">
        <f t="shared" si="290"/>
        <v>3.22079783025559E-3</v>
      </c>
      <c r="AV331" s="32">
        <f t="shared" si="291"/>
        <v>1.5707963267948966</v>
      </c>
      <c r="AW331" s="32" t="str">
        <f t="shared" si="267"/>
        <v>1+0.685735515882118i</v>
      </c>
      <c r="AX331" s="32">
        <f t="shared" si="292"/>
        <v>1.2125317306124879</v>
      </c>
      <c r="AY331" s="32">
        <f t="shared" si="293"/>
        <v>0.60108819464104568</v>
      </c>
      <c r="AZ331" s="32" t="str">
        <f t="shared" si="268"/>
        <v>1+13.0289748017603i</v>
      </c>
      <c r="BA331" s="32">
        <f t="shared" si="294"/>
        <v>13.067294455429741</v>
      </c>
      <c r="BB331" s="32">
        <f t="shared" si="295"/>
        <v>1.494194498721382</v>
      </c>
      <c r="BC331" s="60" t="str">
        <f t="shared" si="296"/>
        <v>-0.445034461127734+0.358185070887761i</v>
      </c>
      <c r="BD331" s="51">
        <f t="shared" si="297"/>
        <v>-4.8631343321141127</v>
      </c>
      <c r="BE331" s="63">
        <f t="shared" si="298"/>
        <v>141.17122188033085</v>
      </c>
      <c r="BF331" s="60" t="str">
        <f t="shared" si="299"/>
        <v>0.306272329205445+0.295445767275966i</v>
      </c>
      <c r="BG331" s="66">
        <f t="shared" si="300"/>
        <v>-7.4210327445412885</v>
      </c>
      <c r="BH331" s="63">
        <f t="shared" si="301"/>
        <v>43.969202718623237</v>
      </c>
      <c r="BI331" s="60" t="e">
        <f t="shared" si="306"/>
        <v>#NUM!</v>
      </c>
      <c r="BJ331" s="66" t="e">
        <f t="shared" si="302"/>
        <v>#NUM!</v>
      </c>
      <c r="BK331" s="63" t="e">
        <f t="shared" si="307"/>
        <v>#NUM!</v>
      </c>
      <c r="BL331" s="51">
        <f t="shared" si="303"/>
        <v>-7.4210327445412885</v>
      </c>
      <c r="BM331" s="63">
        <f t="shared" si="304"/>
        <v>43.969202718623237</v>
      </c>
    </row>
    <row r="332" spans="14:65" x14ac:dyDescent="0.3">
      <c r="N332" s="11">
        <v>14</v>
      </c>
      <c r="O332" s="52">
        <f t="shared" si="308"/>
        <v>13803.842646028841</v>
      </c>
      <c r="P332" s="50" t="str">
        <f t="shared" si="257"/>
        <v>23.3035714285714</v>
      </c>
      <c r="Q332" s="18" t="str">
        <f t="shared" si="258"/>
        <v>1+32.8962469916102i</v>
      </c>
      <c r="R332" s="18">
        <f t="shared" si="269"/>
        <v>32.911442784129399</v>
      </c>
      <c r="S332" s="18">
        <f t="shared" si="270"/>
        <v>1.540407080694131</v>
      </c>
      <c r="T332" s="18" t="str">
        <f t="shared" si="259"/>
        <v>1+0.153515819294181i</v>
      </c>
      <c r="U332" s="18">
        <f t="shared" si="271"/>
        <v>1.0117149335527096</v>
      </c>
      <c r="V332" s="18">
        <f t="shared" si="272"/>
        <v>0.15232661562631691</v>
      </c>
      <c r="W332" s="32" t="str">
        <f t="shared" si="260"/>
        <v>1-0.21201180316836i</v>
      </c>
      <c r="X332" s="18">
        <f t="shared" si="273"/>
        <v>1.0222274720837332</v>
      </c>
      <c r="Y332" s="18">
        <f t="shared" si="274"/>
        <v>-0.2089182424588468</v>
      </c>
      <c r="Z332" s="32" t="str">
        <f t="shared" si="261"/>
        <v>0.999237815712815+0.10405467022752i</v>
      </c>
      <c r="AA332" s="18">
        <f t="shared" si="275"/>
        <v>1.0046410238222783</v>
      </c>
      <c r="AB332" s="18">
        <f t="shared" si="276"/>
        <v>0.1037600634647014</v>
      </c>
      <c r="AC332" s="68" t="str">
        <f t="shared" si="277"/>
        <v>-0.094463708009911-0.722757029016757i</v>
      </c>
      <c r="AD332" s="66">
        <f t="shared" si="278"/>
        <v>-2.7465927256807228</v>
      </c>
      <c r="AE332" s="63">
        <f t="shared" si="279"/>
        <v>-97.446299547661951</v>
      </c>
      <c r="AF332" s="51" t="e">
        <f t="shared" si="280"/>
        <v>#NUM!</v>
      </c>
      <c r="AG332" s="51" t="str">
        <f t="shared" si="262"/>
        <v>1-46.0547457882544i</v>
      </c>
      <c r="AH332" s="51">
        <f t="shared" si="281"/>
        <v>46.06560115336319</v>
      </c>
      <c r="AI332" s="51">
        <f t="shared" si="282"/>
        <v>-1.5490864493069154</v>
      </c>
      <c r="AJ332" s="51" t="str">
        <f t="shared" si="263"/>
        <v>1+0.153515819294181i</v>
      </c>
      <c r="AK332" s="51">
        <f t="shared" si="283"/>
        <v>1.0117149335527096</v>
      </c>
      <c r="AL332" s="51">
        <f t="shared" si="284"/>
        <v>0.15232661562631691</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-0.000170731707317073</v>
      </c>
      <c r="AT332" s="32" t="str">
        <f t="shared" si="266"/>
        <v>0.0032958198492536i</v>
      </c>
      <c r="AU332" s="32">
        <f t="shared" si="290"/>
        <v>3.2958198492535999E-3</v>
      </c>
      <c r="AV332" s="32">
        <f t="shared" si="291"/>
        <v>1.5707963267948966</v>
      </c>
      <c r="AW332" s="32" t="str">
        <f t="shared" si="267"/>
        <v>1+0.701708347960198i</v>
      </c>
      <c r="AX332" s="32">
        <f t="shared" si="292"/>
        <v>1.2216360364679122</v>
      </c>
      <c r="AY332" s="32">
        <f t="shared" si="293"/>
        <v>0.61187158668971853</v>
      </c>
      <c r="AZ332" s="32" t="str">
        <f t="shared" si="268"/>
        <v>1+13.3324586112438i</v>
      </c>
      <c r="BA332" s="32">
        <f t="shared" si="294"/>
        <v>13.369908474650416</v>
      </c>
      <c r="BB332" s="32">
        <f t="shared" si="295"/>
        <v>1.4959315859751061</v>
      </c>
      <c r="BC332" s="60" t="str">
        <f t="shared" si="296"/>
        <v>-0.438425893818822+0.359449609525966i</v>
      </c>
      <c r="BD332" s="51">
        <f t="shared" si="297"/>
        <v>-4.9292536542156027</v>
      </c>
      <c r="BE332" s="63">
        <f t="shared" si="298"/>
        <v>140.65290679539126</v>
      </c>
      <c r="BF332" s="60" t="str">
        <f t="shared" si="299"/>
        <v>0.301210067479906+0.282920453501971i</v>
      </c>
      <c r="BG332" s="66">
        <f t="shared" si="300"/>
        <v>-7.6758463798963215</v>
      </c>
      <c r="BH332" s="63">
        <f t="shared" si="301"/>
        <v>43.206607247729337</v>
      </c>
      <c r="BI332" s="60" t="e">
        <f t="shared" si="306"/>
        <v>#NUM!</v>
      </c>
      <c r="BJ332" s="66" t="e">
        <f t="shared" si="302"/>
        <v>#NUM!</v>
      </c>
      <c r="BK332" s="63" t="e">
        <f t="shared" si="307"/>
        <v>#NUM!</v>
      </c>
      <c r="BL332" s="51">
        <f t="shared" si="303"/>
        <v>-7.6758463798963215</v>
      </c>
      <c r="BM332" s="63">
        <f t="shared" si="304"/>
        <v>43.206607247729337</v>
      </c>
    </row>
    <row r="333" spans="14:65" x14ac:dyDescent="0.3">
      <c r="N333" s="11">
        <v>15</v>
      </c>
      <c r="O333" s="52">
        <f t="shared" si="308"/>
        <v>14125.375446227561</v>
      </c>
      <c r="P333" s="50" t="str">
        <f t="shared" si="257"/>
        <v>23.3035714285714</v>
      </c>
      <c r="Q333" s="18" t="str">
        <f t="shared" si="258"/>
        <v>1+33.6624990188516i</v>
      </c>
      <c r="R333" s="18">
        <f t="shared" si="269"/>
        <v>33.677349067202201</v>
      </c>
      <c r="S333" s="18">
        <f t="shared" si="270"/>
        <v>1.5410984129989478</v>
      </c>
      <c r="T333" s="18" t="str">
        <f t="shared" si="259"/>
        <v>1+0.157091662087974i</v>
      </c>
      <c r="U333" s="18">
        <f t="shared" si="271"/>
        <v>1.0122636960286395</v>
      </c>
      <c r="V333" s="18">
        <f t="shared" si="272"/>
        <v>0.15581823968985431</v>
      </c>
      <c r="W333" s="32" t="str">
        <f t="shared" si="260"/>
        <v>1-0.21695019246299i</v>
      </c>
      <c r="X333" s="18">
        <f t="shared" si="273"/>
        <v>1.0232631069327811</v>
      </c>
      <c r="Y333" s="18">
        <f t="shared" si="274"/>
        <v>-0.21363943890295689</v>
      </c>
      <c r="Z333" s="32" t="str">
        <f t="shared" si="261"/>
        <v>0.999201895074012+0.106478414857907i</v>
      </c>
      <c r="AA333" s="18">
        <f t="shared" si="275"/>
        <v>1.0048592338980367</v>
      </c>
      <c r="AB333" s="18">
        <f t="shared" si="276"/>
        <v>0.1061628198081716</v>
      </c>
      <c r="AC333" s="68" t="str">
        <f t="shared" si="277"/>
        <v>-0.0954960425084515-0.706858926882485i</v>
      </c>
      <c r="AD333" s="66">
        <f t="shared" si="278"/>
        <v>-2.9347932743432632</v>
      </c>
      <c r="AE333" s="63">
        <f t="shared" si="279"/>
        <v>-97.694027076660831</v>
      </c>
      <c r="AF333" s="51" t="e">
        <f t="shared" si="280"/>
        <v>#NUM!</v>
      </c>
      <c r="AG333" s="51" t="str">
        <f t="shared" si="262"/>
        <v>1-47.1274986263924i</v>
      </c>
      <c r="AH333" s="51">
        <f t="shared" si="281"/>
        <v>47.138106949480033</v>
      </c>
      <c r="AI333" s="51">
        <f t="shared" si="282"/>
        <v>-1.5495804764484002</v>
      </c>
      <c r="AJ333" s="51" t="str">
        <f t="shared" si="263"/>
        <v>1+0.157091662087974i</v>
      </c>
      <c r="AK333" s="51">
        <f t="shared" si="283"/>
        <v>1.0122636960286395</v>
      </c>
      <c r="AL333" s="51">
        <f t="shared" si="284"/>
        <v>0.15581823968985431</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-0.000170731707317073</v>
      </c>
      <c r="AT333" s="32" t="str">
        <f t="shared" si="266"/>
        <v>0.00337258935556103i</v>
      </c>
      <c r="AU333" s="32">
        <f t="shared" si="290"/>
        <v>3.3725893555610299E-3</v>
      </c>
      <c r="AV333" s="32">
        <f t="shared" si="291"/>
        <v>1.5707963267948966</v>
      </c>
      <c r="AW333" s="32" t="str">
        <f t="shared" si="267"/>
        <v>1+0.718053235092577i</v>
      </c>
      <c r="AX333" s="32">
        <f t="shared" si="292"/>
        <v>1.2310972538458997</v>
      </c>
      <c r="AY333" s="32">
        <f t="shared" si="293"/>
        <v>0.62273975305401952</v>
      </c>
      <c r="AZ333" s="32" t="str">
        <f t="shared" si="268"/>
        <v>1+13.643011466759i</v>
      </c>
      <c r="BA333" s="32">
        <f t="shared" si="294"/>
        <v>13.679611174376175</v>
      </c>
      <c r="BB333" s="32">
        <f t="shared" si="295"/>
        <v>1.4976295697970554</v>
      </c>
      <c r="BC333" s="60" t="str">
        <f t="shared" si="296"/>
        <v>-0.431713014843975+0.360616257953164i</v>
      </c>
      <c r="BD333" s="51">
        <f t="shared" si="297"/>
        <v>-4.9973578188253249</v>
      </c>
      <c r="BE333" s="63">
        <f t="shared" si="298"/>
        <v>140.12749403834994</v>
      </c>
      <c r="BF333" s="60" t="str">
        <f t="shared" si="299"/>
        <v>0.296131705530143+0.27072277289508i</v>
      </c>
      <c r="BG333" s="66">
        <f t="shared" si="300"/>
        <v>-7.9321510931685921</v>
      </c>
      <c r="BH333" s="63">
        <f t="shared" si="301"/>
        <v>42.433466961689049</v>
      </c>
      <c r="BI333" s="60" t="e">
        <f t="shared" si="306"/>
        <v>#NUM!</v>
      </c>
      <c r="BJ333" s="66" t="e">
        <f t="shared" si="302"/>
        <v>#NUM!</v>
      </c>
      <c r="BK333" s="63" t="e">
        <f t="shared" si="307"/>
        <v>#NUM!</v>
      </c>
      <c r="BL333" s="51">
        <f t="shared" si="303"/>
        <v>-7.9321510931685921</v>
      </c>
      <c r="BM333" s="63">
        <f t="shared" si="304"/>
        <v>42.433466961689049</v>
      </c>
    </row>
    <row r="334" spans="14:65" x14ac:dyDescent="0.3">
      <c r="N334" s="11">
        <v>16</v>
      </c>
      <c r="O334" s="52">
        <f t="shared" si="308"/>
        <v>14454.397707459291</v>
      </c>
      <c r="P334" s="50" t="str">
        <f t="shared" si="257"/>
        <v>23.3035714285714</v>
      </c>
      <c r="Q334" s="18" t="str">
        <f t="shared" si="258"/>
        <v>1+34.4465993486486i</v>
      </c>
      <c r="R334" s="18">
        <f t="shared" si="269"/>
        <v>34.461111512635782</v>
      </c>
      <c r="S334" s="18">
        <f t="shared" si="270"/>
        <v>1.5417740360990284</v>
      </c>
      <c r="T334" s="18" t="str">
        <f t="shared" si="259"/>
        <v>1+0.16075079696036i</v>
      </c>
      <c r="U334" s="18">
        <f t="shared" si="271"/>
        <v>1.0128380022113068</v>
      </c>
      <c r="V334" s="18">
        <f t="shared" si="272"/>
        <v>0.15938723263928936</v>
      </c>
      <c r="W334" s="32" t="str">
        <f t="shared" si="260"/>
        <v>1-0.222003611621339i</v>
      </c>
      <c r="X334" s="18">
        <f t="shared" si="273"/>
        <v>1.0243464275199667</v>
      </c>
      <c r="Y334" s="18">
        <f t="shared" si="274"/>
        <v>-0.21846061318920595</v>
      </c>
      <c r="Z334" s="32" t="str">
        <f t="shared" si="261"/>
        <v>0.999164281547658+0.108958615753259i</v>
      </c>
      <c r="AA334" s="18">
        <f t="shared" si="275"/>
        <v>1.00508767849751</v>
      </c>
      <c r="AB334" s="18">
        <f t="shared" si="276"/>
        <v>0.10862054127016932</v>
      </c>
      <c r="AC334" s="68" t="str">
        <f t="shared" si="277"/>
        <v>-0.0964874723486159-0.691332454116536i</v>
      </c>
      <c r="AD334" s="66">
        <f t="shared" si="278"/>
        <v>-3.1224780064362552</v>
      </c>
      <c r="AE334" s="63">
        <f t="shared" si="279"/>
        <v>-97.945299201612656</v>
      </c>
      <c r="AF334" s="51" t="e">
        <f t="shared" si="280"/>
        <v>#NUM!</v>
      </c>
      <c r="AG334" s="51" t="str">
        <f t="shared" si="262"/>
        <v>1-48.2252390881082i</v>
      </c>
      <c r="AH334" s="51">
        <f t="shared" si="281"/>
        <v>48.235605988783831</v>
      </c>
      <c r="AI334" s="51">
        <f t="shared" si="282"/>
        <v>-1.5500632681677837</v>
      </c>
      <c r="AJ334" s="51" t="str">
        <f t="shared" si="263"/>
        <v>1+0.16075079696036i</v>
      </c>
      <c r="AK334" s="51">
        <f t="shared" si="283"/>
        <v>1.0128380022113068</v>
      </c>
      <c r="AL334" s="51">
        <f t="shared" si="284"/>
        <v>0.15938723263928936</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-0.000170731707317073</v>
      </c>
      <c r="AT334" s="32" t="str">
        <f t="shared" si="266"/>
        <v>0.00345114705338626i</v>
      </c>
      <c r="AU334" s="32">
        <f t="shared" si="290"/>
        <v>3.4511470533862602E-3</v>
      </c>
      <c r="AV334" s="32">
        <f t="shared" si="291"/>
        <v>1.5707963267948966</v>
      </c>
      <c r="AW334" s="32" t="str">
        <f t="shared" si="267"/>
        <v>1+0.734778843554759i</v>
      </c>
      <c r="AX334" s="32">
        <f t="shared" si="292"/>
        <v>1.2409270522217126</v>
      </c>
      <c r="AY334" s="32">
        <f t="shared" si="293"/>
        <v>0.63368818662116699</v>
      </c>
      <c r="AZ334" s="32" t="str">
        <f t="shared" si="268"/>
        <v>1+13.9607980275404i</v>
      </c>
      <c r="BA334" s="32">
        <f t="shared" si="294"/>
        <v>13.996566777812907</v>
      </c>
      <c r="BB334" s="32">
        <f t="shared" si="295"/>
        <v>1.4992893112944683</v>
      </c>
      <c r="BC334" s="60" t="str">
        <f t="shared" si="296"/>
        <v>-0.424900617304064+0.361678987522935i</v>
      </c>
      <c r="BD334" s="51">
        <f t="shared" si="297"/>
        <v>-5.0674802691228464</v>
      </c>
      <c r="BE334" s="63">
        <f t="shared" si="298"/>
        <v>139.59529118555747</v>
      </c>
      <c r="BF334" s="60" t="str">
        <f t="shared" si="299"/>
        <v>0.29103800860965+0.258850095208755i</v>
      </c>
      <c r="BG334" s="66">
        <f t="shared" si="300"/>
        <v>-8.1899582755591034</v>
      </c>
      <c r="BH334" s="63">
        <f t="shared" si="301"/>
        <v>41.649991983944837</v>
      </c>
      <c r="BI334" s="60" t="e">
        <f t="shared" si="306"/>
        <v>#NUM!</v>
      </c>
      <c r="BJ334" s="66" t="e">
        <f t="shared" si="302"/>
        <v>#NUM!</v>
      </c>
      <c r="BK334" s="63" t="e">
        <f t="shared" si="307"/>
        <v>#NUM!</v>
      </c>
      <c r="BL334" s="51">
        <f t="shared" si="303"/>
        <v>-8.1899582755591034</v>
      </c>
      <c r="BM334" s="63">
        <f t="shared" si="304"/>
        <v>41.649991983944837</v>
      </c>
    </row>
    <row r="335" spans="14:65" x14ac:dyDescent="0.3">
      <c r="N335" s="11">
        <v>17</v>
      </c>
      <c r="O335" s="52">
        <f t="shared" si="308"/>
        <v>14791.083881682089</v>
      </c>
      <c r="P335" s="50" t="str">
        <f t="shared" si="257"/>
        <v>23.3035714285714</v>
      </c>
      <c r="Q335" s="18" t="str">
        <f t="shared" si="258"/>
        <v>1+35.2489637213749i</v>
      </c>
      <c r="R335" s="18">
        <f t="shared" si="269"/>
        <v>35.263145682579193</v>
      </c>
      <c r="S335" s="18">
        <f t="shared" si="270"/>
        <v>1.5424343057500765</v>
      </c>
      <c r="T335" s="18" t="str">
        <f t="shared" si="259"/>
        <v>1+0.164495164033083i</v>
      </c>
      <c r="U335" s="18">
        <f t="shared" si="271"/>
        <v>1.0134390257880692</v>
      </c>
      <c r="V335" s="18">
        <f t="shared" si="272"/>
        <v>0.16303512292977285</v>
      </c>
      <c r="W335" s="32" t="str">
        <f t="shared" si="260"/>
        <v>1-0.227174740033134i</v>
      </c>
      <c r="X335" s="18">
        <f t="shared" si="273"/>
        <v>1.0254795768366729</v>
      </c>
      <c r="Y335" s="18">
        <f t="shared" si="274"/>
        <v>-0.22338342466099145</v>
      </c>
      <c r="Z335" s="32" t="str">
        <f t="shared" si="261"/>
        <v>0.99912489535042+0.111496587948921i</v>
      </c>
      <c r="AA335" s="18">
        <f t="shared" si="275"/>
        <v>1.0053268352298366</v>
      </c>
      <c r="AB335" s="18">
        <f t="shared" si="276"/>
        <v>0.11113443744080348</v>
      </c>
      <c r="AC335" s="68" t="str">
        <f t="shared" si="277"/>
        <v>-0.0974400824269033-0.67616951238955i</v>
      </c>
      <c r="AD335" s="66">
        <f t="shared" si="278"/>
        <v>-3.3096240463148781</v>
      </c>
      <c r="AE335" s="63">
        <f t="shared" si="279"/>
        <v>-98.200213109570143</v>
      </c>
      <c r="AF335" s="51" t="e">
        <f t="shared" si="280"/>
        <v>#NUM!</v>
      </c>
      <c r="AG335" s="51" t="str">
        <f t="shared" si="262"/>
        <v>1-49.348549209925i</v>
      </c>
      <c r="AH335" s="51">
        <f t="shared" si="281"/>
        <v>49.358680180130307</v>
      </c>
      <c r="AI335" s="51">
        <f t="shared" si="282"/>
        <v>-1.5505350795468469</v>
      </c>
      <c r="AJ335" s="51" t="str">
        <f t="shared" si="263"/>
        <v>1+0.164495164033083i</v>
      </c>
      <c r="AK335" s="51">
        <f t="shared" si="283"/>
        <v>1.0134390257880692</v>
      </c>
      <c r="AL335" s="51">
        <f t="shared" si="284"/>
        <v>0.16303512292977285</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-0.000170731707317073</v>
      </c>
      <c r="AT335" s="32" t="str">
        <f t="shared" si="266"/>
        <v>0.00353153459506054i</v>
      </c>
      <c r="AU335" s="32">
        <f t="shared" si="290"/>
        <v>3.5315345950605401E-3</v>
      </c>
      <c r="AV335" s="32">
        <f t="shared" si="291"/>
        <v>1.5707963267948966</v>
      </c>
      <c r="AW335" s="32" t="str">
        <f t="shared" si="267"/>
        <v>1+0.751894041485741i</v>
      </c>
      <c r="AX335" s="32">
        <f t="shared" si="292"/>
        <v>1.2511373424295837</v>
      </c>
      <c r="AY335" s="32">
        <f t="shared" si="293"/>
        <v>0.64471219370587751</v>
      </c>
      <c r="AZ335" s="32" t="str">
        <f t="shared" si="268"/>
        <v>1+14.2859867882291i</v>
      </c>
      <c r="BA335" s="32">
        <f t="shared" si="294"/>
        <v>14.3209433527773</v>
      </c>
      <c r="BB335" s="32">
        <f t="shared" si="295"/>
        <v>1.5009116538864726</v>
      </c>
      <c r="BC335" s="60" t="str">
        <f t="shared" si="296"/>
        <v>-0.417993851416277+0.362631992054582i</v>
      </c>
      <c r="BD335" s="51">
        <f t="shared" si="297"/>
        <v>-5.1396528278255849</v>
      </c>
      <c r="BE335" s="63">
        <f t="shared" si="298"/>
        <v>139.05661548972745</v>
      </c>
      <c r="BF335" s="60" t="str">
        <f t="shared" si="299"/>
        <v>0.285930052580339+0.247299807497543i</v>
      </c>
      <c r="BG335" s="66">
        <f t="shared" si="300"/>
        <v>-8.4492768741404642</v>
      </c>
      <c r="BH335" s="63">
        <f t="shared" si="301"/>
        <v>40.856402380157228</v>
      </c>
      <c r="BI335" s="60" t="e">
        <f t="shared" si="306"/>
        <v>#NUM!</v>
      </c>
      <c r="BJ335" s="66" t="e">
        <f t="shared" si="302"/>
        <v>#NUM!</v>
      </c>
      <c r="BK335" s="63" t="e">
        <f t="shared" si="307"/>
        <v>#NUM!</v>
      </c>
      <c r="BL335" s="51">
        <f t="shared" si="303"/>
        <v>-8.4492768741404642</v>
      </c>
      <c r="BM335" s="63">
        <f t="shared" si="304"/>
        <v>40.856402380157228</v>
      </c>
    </row>
    <row r="336" spans="14:65" x14ac:dyDescent="0.3">
      <c r="N336" s="11">
        <v>18</v>
      </c>
      <c r="O336" s="52">
        <f t="shared" si="308"/>
        <v>15135.612484362096</v>
      </c>
      <c r="P336" s="50" t="str">
        <f t="shared" si="257"/>
        <v>23.3035714285714</v>
      </c>
      <c r="Q336" s="18" t="str">
        <f t="shared" si="258"/>
        <v>1+36.0700175612415i</v>
      </c>
      <c r="R336" s="18">
        <f t="shared" si="269"/>
        <v>36.083876827029968</v>
      </c>
      <c r="S336" s="18">
        <f t="shared" si="270"/>
        <v>1.543079569731695</v>
      </c>
      <c r="T336" s="18" t="str">
        <f t="shared" si="259"/>
        <v>1+0.168326748619127i</v>
      </c>
      <c r="U336" s="18">
        <f t="shared" si="271"/>
        <v>1.0140679929376959</v>
      </c>
      <c r="V336" s="18">
        <f t="shared" si="272"/>
        <v>0.16676345618094757</v>
      </c>
      <c r="W336" s="32" t="str">
        <f t="shared" si="260"/>
        <v>1-0.232466319499108i</v>
      </c>
      <c r="X336" s="18">
        <f t="shared" si="273"/>
        <v>1.026664789355056</v>
      </c>
      <c r="Y336" s="18">
        <f t="shared" si="274"/>
        <v>-0.22840952862737965</v>
      </c>
      <c r="Z336" s="32" t="str">
        <f t="shared" si="261"/>
        <v>0.999083652938893+0.114093677111346i</v>
      </c>
      <c r="AA336" s="18">
        <f t="shared" si="275"/>
        <v>1.0055772037623518</v>
      </c>
      <c r="AB336" s="18">
        <f t="shared" si="276"/>
        <v>0.11370574114466427</v>
      </c>
      <c r="AC336" s="68" t="str">
        <f t="shared" si="277"/>
        <v>-0.0983558754486269-0.661362181896018i</v>
      </c>
      <c r="AD336" s="66">
        <f t="shared" si="278"/>
        <v>-3.4962076699517985</v>
      </c>
      <c r="AE336" s="63">
        <f t="shared" si="279"/>
        <v>-98.458865647223718</v>
      </c>
      <c r="AF336" s="51" t="e">
        <f t="shared" si="280"/>
        <v>#NUM!</v>
      </c>
      <c r="AG336" s="51" t="str">
        <f t="shared" si="262"/>
        <v>1-50.4980245857382i</v>
      </c>
      <c r="AH336" s="51">
        <f t="shared" si="281"/>
        <v>50.507924992636745</v>
      </c>
      <c r="AI336" s="51">
        <f t="shared" si="282"/>
        <v>-1.550996159905522</v>
      </c>
      <c r="AJ336" s="51" t="str">
        <f t="shared" si="263"/>
        <v>1+0.168326748619127i</v>
      </c>
      <c r="AK336" s="51">
        <f t="shared" si="283"/>
        <v>1.0140679929376959</v>
      </c>
      <c r="AL336" s="51">
        <f t="shared" si="284"/>
        <v>0.16676345618094757</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-0.000170731707317073</v>
      </c>
      <c r="AT336" s="32" t="str">
        <f t="shared" si="266"/>
        <v>0.0036137946031225i</v>
      </c>
      <c r="AU336" s="32">
        <f t="shared" si="290"/>
        <v>3.6137946031224999E-3</v>
      </c>
      <c r="AV336" s="32">
        <f t="shared" si="291"/>
        <v>1.5707963267948966</v>
      </c>
      <c r="AW336" s="32" t="str">
        <f t="shared" si="267"/>
        <v>1+0.769407903590013i</v>
      </c>
      <c r="AX336" s="32">
        <f t="shared" si="292"/>
        <v>1.2617402752178353</v>
      </c>
      <c r="AY336" s="32">
        <f t="shared" si="293"/>
        <v>0.65580690187050572</v>
      </c>
      <c r="AZ336" s="32" t="str">
        <f t="shared" si="268"/>
        <v>1+14.6187501682103i</v>
      </c>
      <c r="BA336" s="32">
        <f t="shared" si="294"/>
        <v>14.652912900872257</v>
      </c>
      <c r="BB336" s="32">
        <f t="shared" si="295"/>
        <v>1.5024974235814224</v>
      </c>
      <c r="BC336" s="60" t="str">
        <f t="shared" si="296"/>
        <v>-0.410998213745525+0.363469715405622i</v>
      </c>
      <c r="BD336" s="51">
        <f t="shared" si="297"/>
        <v>-5.2139055939485468</v>
      </c>
      <c r="BE336" s="63">
        <f t="shared" si="298"/>
        <v>138.51179344776531</v>
      </c>
      <c r="BF336" s="60" t="str">
        <f t="shared" si="299"/>
        <v>0.28080921315455+0.236069293340323i</v>
      </c>
      <c r="BG336" s="66">
        <f t="shared" si="300"/>
        <v>-8.7101132639003449</v>
      </c>
      <c r="BH336" s="63">
        <f t="shared" si="301"/>
        <v>40.052927800541568</v>
      </c>
      <c r="BI336" s="60" t="e">
        <f t="shared" si="306"/>
        <v>#NUM!</v>
      </c>
      <c r="BJ336" s="66" t="e">
        <f t="shared" si="302"/>
        <v>#NUM!</v>
      </c>
      <c r="BK336" s="63" t="e">
        <f t="shared" si="307"/>
        <v>#NUM!</v>
      </c>
      <c r="BL336" s="51">
        <f t="shared" si="303"/>
        <v>-8.7101132639003449</v>
      </c>
      <c r="BM336" s="63">
        <f t="shared" si="304"/>
        <v>40.052927800541568</v>
      </c>
    </row>
    <row r="337" spans="14:65" x14ac:dyDescent="0.3">
      <c r="N337" s="11">
        <v>19</v>
      </c>
      <c r="O337" s="52">
        <f t="shared" si="308"/>
        <v>15488.166189124853</v>
      </c>
      <c r="P337" s="50" t="str">
        <f t="shared" si="257"/>
        <v>23.3035714285714</v>
      </c>
      <c r="Q337" s="18" t="str">
        <f t="shared" si="258"/>
        <v>1+36.9101962018622i</v>
      </c>
      <c r="R337" s="18">
        <f t="shared" si="269"/>
        <v>36.923740109311282</v>
      </c>
      <c r="S337" s="18">
        <f t="shared" si="270"/>
        <v>1.5437101680208318</v>
      </c>
      <c r="T337" s="18" t="str">
        <f t="shared" si="259"/>
        <v>1+0.172247582275357i</v>
      </c>
      <c r="U337" s="18">
        <f t="shared" si="271"/>
        <v>1.0147261845442375</v>
      </c>
      <c r="V337" s="18">
        <f t="shared" si="272"/>
        <v>0.17057379439046239</v>
      </c>
      <c r="W337" s="32" t="str">
        <f t="shared" si="260"/>
        <v>1-0.237881155684736i</v>
      </c>
      <c r="X337" s="18">
        <f t="shared" si="273"/>
        <v>1.0279043944987811</v>
      </c>
      <c r="Y337" s="18">
        <f t="shared" si="274"/>
        <v>-0.23354057379578189</v>
      </c>
      <c r="Z337" s="32" t="str">
        <f t="shared" si="261"/>
        <v>0.999040466832392+0.116751260251583i</v>
      </c>
      <c r="AA337" s="18">
        <f t="shared" si="275"/>
        <v>1.0058393068174543</v>
      </c>
      <c r="AB337" s="18">
        <f t="shared" si="276"/>
        <v>0.11633570864267007</v>
      </c>
      <c r="AC337" s="68" t="str">
        <f t="shared" si="277"/>
        <v>-0.0992367760279427-0.646902717739354i</v>
      </c>
      <c r="AD337" s="66">
        <f t="shared" si="278"/>
        <v>-3.6822042804019031</v>
      </c>
      <c r="AE337" s="63">
        <f t="shared" si="279"/>
        <v>-98.721353240369538</v>
      </c>
      <c r="AF337" s="51" t="e">
        <f t="shared" si="280"/>
        <v>#NUM!</v>
      </c>
      <c r="AG337" s="51" t="str">
        <f t="shared" si="262"/>
        <v>1-51.6742746826072i</v>
      </c>
      <c r="AH337" s="51">
        <f t="shared" si="281"/>
        <v>51.683949771409097</v>
      </c>
      <c r="AI337" s="51">
        <f t="shared" si="282"/>
        <v>-1.5514467529300813</v>
      </c>
      <c r="AJ337" s="51" t="str">
        <f t="shared" si="263"/>
        <v>1+0.172247582275357i</v>
      </c>
      <c r="AK337" s="51">
        <f t="shared" si="283"/>
        <v>1.0147261845442375</v>
      </c>
      <c r="AL337" s="51">
        <f t="shared" si="284"/>
        <v>0.17057379439046239</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-0.000170731707317073</v>
      </c>
      <c r="AT337" s="32" t="str">
        <f t="shared" si="266"/>
        <v>0.00369797069291727i</v>
      </c>
      <c r="AU337" s="32">
        <f t="shared" si="290"/>
        <v>3.6979706929172701E-3</v>
      </c>
      <c r="AV337" s="32">
        <f t="shared" si="291"/>
        <v>1.5707963267948966</v>
      </c>
      <c r="AW337" s="32" t="str">
        <f t="shared" si="267"/>
        <v>1+0.787329715949088i</v>
      </c>
      <c r="AX337" s="32">
        <f t="shared" si="292"/>
        <v>1.2727482396831165</v>
      </c>
      <c r="AY337" s="32">
        <f t="shared" si="293"/>
        <v>0.66696726871789513</v>
      </c>
      <c r="AZ337" s="32" t="str">
        <f t="shared" si="268"/>
        <v>1+14.9592646030327i</v>
      </c>
      <c r="BA337" s="32">
        <f t="shared" si="294"/>
        <v>14.992651448744718</v>
      </c>
      <c r="BB337" s="32">
        <f t="shared" si="295"/>
        <v>1.5040474292560309</v>
      </c>
      <c r="BC337" s="60" t="str">
        <f t="shared" si="296"/>
        <v>-0.403919533895414+0.364186878496211i</v>
      </c>
      <c r="BD337" s="51">
        <f t="shared" si="297"/>
        <v>-5.2902668430652167</v>
      </c>
      <c r="BE337" s="63">
        <f t="shared" si="298"/>
        <v>137.96116031296853</v>
      </c>
      <c r="BF337" s="60" t="str">
        <f t="shared" si="299"/>
        <v>0.275677153782701+0.225155912531312i</v>
      </c>
      <c r="BG337" s="66">
        <f t="shared" si="300"/>
        <v>-8.9724711234671268</v>
      </c>
      <c r="BH337" s="63">
        <f t="shared" si="301"/>
        <v>39.23980707259895</v>
      </c>
      <c r="BI337" s="60" t="e">
        <f t="shared" si="306"/>
        <v>#NUM!</v>
      </c>
      <c r="BJ337" s="66" t="e">
        <f t="shared" si="302"/>
        <v>#NUM!</v>
      </c>
      <c r="BK337" s="63" t="e">
        <f t="shared" si="307"/>
        <v>#NUM!</v>
      </c>
      <c r="BL337" s="51">
        <f t="shared" si="303"/>
        <v>-8.9724711234671268</v>
      </c>
      <c r="BM337" s="63">
        <f t="shared" si="304"/>
        <v>39.23980707259895</v>
      </c>
    </row>
    <row r="338" spans="14:65" x14ac:dyDescent="0.3">
      <c r="N338" s="11">
        <v>20</v>
      </c>
      <c r="O338" s="52">
        <f t="shared" si="308"/>
        <v>15848.931924611146</v>
      </c>
      <c r="P338" s="50" t="str">
        <f t="shared" si="257"/>
        <v>23.3035714285714</v>
      </c>
      <c r="Q338" s="18" t="str">
        <f t="shared" si="258"/>
        <v>1+37.7699451170732i</v>
      </c>
      <c r="R338" s="18">
        <f t="shared" si="269"/>
        <v>37.783180836805172</v>
      </c>
      <c r="S338" s="18">
        <f t="shared" si="270"/>
        <v>1.5443264329618178</v>
      </c>
      <c r="T338" s="18" t="str">
        <f t="shared" si="259"/>
        <v>1+0.176259743879675i</v>
      </c>
      <c r="U338" s="18">
        <f t="shared" si="271"/>
        <v>1.0154149384919096</v>
      </c>
      <c r="V338" s="18">
        <f t="shared" si="272"/>
        <v>0.17446771505940331</v>
      </c>
      <c r="W338" s="32" t="str">
        <f t="shared" si="260"/>
        <v>1-0.243422119607837i</v>
      </c>
      <c r="X338" s="18">
        <f t="shared" si="273"/>
        <v>1.0292008202068108</v>
      </c>
      <c r="Y338" s="18">
        <f t="shared" si="274"/>
        <v>-0.23877819952992579</v>
      </c>
      <c r="Z338" s="32" t="str">
        <f t="shared" si="261"/>
        <v>0.998995245427396+0.119470746455392i</v>
      </c>
      <c r="AA338" s="18">
        <f t="shared" si="275"/>
        <v>1.0061136912124553</v>
      </c>
      <c r="AB338" s="18">
        <f t="shared" si="276"/>
        <v>0.11902561981601521</v>
      </c>
      <c r="AC338" s="68" t="str">
        <f t="shared" si="277"/>
        <v>-0.100084634622772-0.632783546347327i</v>
      </c>
      <c r="AD338" s="66">
        <f t="shared" si="278"/>
        <v>-3.8675883835461544</v>
      </c>
      <c r="AE338" s="63">
        <f t="shared" si="279"/>
        <v>-98.987771807194179</v>
      </c>
      <c r="AF338" s="51" t="e">
        <f t="shared" si="280"/>
        <v>#NUM!</v>
      </c>
      <c r="AG338" s="51" t="str">
        <f t="shared" si="262"/>
        <v>1-52.8779231639026i</v>
      </c>
      <c r="AH338" s="51">
        <f t="shared" si="281"/>
        <v>52.88737806062602</v>
      </c>
      <c r="AI338" s="51">
        <f t="shared" si="282"/>
        <v>-1.5518870967986049</v>
      </c>
      <c r="AJ338" s="51" t="str">
        <f t="shared" si="263"/>
        <v>1+0.176259743879675i</v>
      </c>
      <c r="AK338" s="51">
        <f t="shared" si="283"/>
        <v>1.0154149384919096</v>
      </c>
      <c r="AL338" s="51">
        <f t="shared" si="284"/>
        <v>0.17446771505940331</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-0.000170731707317073</v>
      </c>
      <c r="AT338" s="32" t="str">
        <f t="shared" si="266"/>
        <v>0.00378410749572184i</v>
      </c>
      <c r="AU338" s="32">
        <f t="shared" si="290"/>
        <v>3.78410749572184E-3</v>
      </c>
      <c r="AV338" s="32">
        <f t="shared" si="291"/>
        <v>1.5707963267948966</v>
      </c>
      <c r="AW338" s="32" t="str">
        <f t="shared" si="267"/>
        <v>1+0.805668980945097i</v>
      </c>
      <c r="AX338" s="32">
        <f t="shared" si="292"/>
        <v>1.2841738616157514</v>
      </c>
      <c r="AY338" s="32">
        <f t="shared" si="293"/>
        <v>0.67818809163275828</v>
      </c>
      <c r="AZ338" s="32" t="str">
        <f t="shared" si="268"/>
        <v>1+15.3077106379569i</v>
      </c>
      <c r="BA338" s="32">
        <f t="shared" si="294"/>
        <v>15.340339141473333</v>
      </c>
      <c r="BB338" s="32">
        <f t="shared" si="295"/>
        <v>1.5055624629357391</v>
      </c>
      <c r="BC338" s="60" t="str">
        <f t="shared" si="296"/>
        <v>-0.396763958679712+0.364778505521908i</v>
      </c>
      <c r="BD338" s="51">
        <f t="shared" si="297"/>
        <v>-5.3687629318498651</v>
      </c>
      <c r="BE338" s="63">
        <f t="shared" si="298"/>
        <v>137.40505955295072</v>
      </c>
      <c r="BF338" s="60" t="str">
        <f t="shared" si="299"/>
        <v>0.270535812191375+0.214556981392752i</v>
      </c>
      <c r="BG338" s="66">
        <f t="shared" si="300"/>
        <v>-9.2363513153960035</v>
      </c>
      <c r="BH338" s="63">
        <f t="shared" si="301"/>
        <v>38.41728774575656</v>
      </c>
      <c r="BI338" s="60" t="e">
        <f t="shared" si="306"/>
        <v>#NUM!</v>
      </c>
      <c r="BJ338" s="66" t="e">
        <f t="shared" si="302"/>
        <v>#NUM!</v>
      </c>
      <c r="BK338" s="63" t="e">
        <f t="shared" si="307"/>
        <v>#NUM!</v>
      </c>
      <c r="BL338" s="51">
        <f t="shared" si="303"/>
        <v>-9.2363513153960035</v>
      </c>
      <c r="BM338" s="63">
        <f t="shared" si="304"/>
        <v>38.41728774575656</v>
      </c>
    </row>
    <row r="339" spans="14:65" x14ac:dyDescent="0.3">
      <c r="N339" s="11">
        <v>21</v>
      </c>
      <c r="O339" s="52">
        <f t="shared" si="308"/>
        <v>16218.100973589309</v>
      </c>
      <c r="P339" s="50" t="str">
        <f t="shared" ref="P339:P402" si="309">COMPLEX(Adc,0)</f>
        <v>23.3035714285714</v>
      </c>
      <c r="Q339" s="18" t="str">
        <f t="shared" ref="Q339:Q402" si="310">IMSUM(COMPLEX(1,0),IMDIV(COMPLEX(0,2*PI()*O339),COMPLEX(wp_lf,0)))</f>
        <v>1+38.6497201571296i</v>
      </c>
      <c r="R339" s="18">
        <f t="shared" si="269"/>
        <v>38.662654697064319</v>
      </c>
      <c r="S339" s="18">
        <f t="shared" si="270"/>
        <v>1.5449286894330365</v>
      </c>
      <c r="T339" s="18" t="str">
        <f t="shared" ref="T339:T402" si="311">IMSUM(COMPLEX(1,0),IMDIV(COMPLEX(0,2*PI()*O339),COMPLEX(wz_esr,0)))</f>
        <v>1+0.180365360733272i</v>
      </c>
      <c r="U339" s="18">
        <f t="shared" si="271"/>
        <v>1.0161356520427984</v>
      </c>
      <c r="V339" s="18">
        <f t="shared" si="272"/>
        <v>0.17844681022427544</v>
      </c>
      <c r="W339" s="32" t="str">
        <f t="shared" ref="W339:W402" si="312">IMSUB(COMPLEX(1,0),IMDIV(COMPLEX(0,2*PI()*O339),COMPLEX(wz_rhp,0)))</f>
        <v>1-0.249092149160827i</v>
      </c>
      <c r="X339" s="18">
        <f t="shared" si="273"/>
        <v>1.0305565965892216</v>
      </c>
      <c r="Y339" s="18">
        <f t="shared" si="274"/>
        <v>-0.24412403292702436</v>
      </c>
      <c r="Z339" s="32" t="str">
        <f t="shared" ref="Z339:Z402" si="313">IMSUM(COMPLEX(1,0),IMDIV(COMPLEX(0,2*PI()*O339),COMPLEX(Q*(wsl/2),0)),IMDIV(IMPOWER(COMPLEX(0,2*PI()*O339),2),IMPOWER(COMPLEX(wsl/2,0),2)))</f>
        <v>0.998947892803242+0.122253577630353i</v>
      </c>
      <c r="AA339" s="18">
        <f t="shared" si="275"/>
        <v>1.0064009289440556</v>
      </c>
      <c r="AB339" s="18">
        <f t="shared" si="276"/>
        <v>0.12177677833036059</v>
      </c>
      <c r="AC339" s="68" t="str">
        <f t="shared" si="277"/>
        <v>-0.100901231311757-0.618997261918619i</v>
      </c>
      <c r="AD339" s="66">
        <f t="shared" si="278"/>
        <v>-4.0523335642222049</v>
      </c>
      <c r="AE339" s="63">
        <f t="shared" si="279"/>
        <v>-99.258216665228602</v>
      </c>
      <c r="AF339" s="51" t="e">
        <f t="shared" si="280"/>
        <v>#NUM!</v>
      </c>
      <c r="AG339" s="51" t="str">
        <f t="shared" ref="AG339:AG402" si="314">IMSUM(COMPLEX(1,0),IMDIV(COMPLEX(0,2*PI()*O339),COMPLEX(wp_lf_DCM,0)))</f>
        <v>1-54.1096082199816i</v>
      </c>
      <c r="AH339" s="51">
        <f t="shared" si="281"/>
        <v>54.118847934152299</v>
      </c>
      <c r="AI339" s="51">
        <f t="shared" si="282"/>
        <v>-1.5523174243037778</v>
      </c>
      <c r="AJ339" s="51" t="str">
        <f t="shared" ref="AJ339:AJ402" si="315">IMSUM(COMPLEX(1,0),IMDIV(COMPLEX(0,2*PI()*O339),COMPLEX(wz1_dcm,0)))</f>
        <v>1+0.180365360733272i</v>
      </c>
      <c r="AK339" s="51">
        <f t="shared" si="283"/>
        <v>1.0161356520427984</v>
      </c>
      <c r="AL339" s="51">
        <f t="shared" si="284"/>
        <v>0.17844681022427544</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-0.000170731707317073</v>
      </c>
      <c r="AT339" s="32" t="str">
        <f t="shared" ref="AT339:AT402" si="318">COMPLEX(0,2*PI()*O339*wp0_ea)</f>
        <v>0.00387225068240923i</v>
      </c>
      <c r="AU339" s="32">
        <f t="shared" si="290"/>
        <v>3.8722506824092301E-3</v>
      </c>
      <c r="AV339" s="32">
        <f t="shared" si="291"/>
        <v>1.5707963267948966</v>
      </c>
      <c r="AW339" s="32" t="str">
        <f t="shared" ref="AW339:AW402" si="319">IMSUM(COMPLEX(1,0),IMDIV(COMPLEX(0,2*PI()*O339),COMPLEX(wp1_ea,0)))</f>
        <v>1+0.824435422299092i</v>
      </c>
      <c r="AX339" s="32">
        <f t="shared" si="292"/>
        <v>1.2960300017906539</v>
      </c>
      <c r="AY339" s="32">
        <f t="shared" si="293"/>
        <v>0.68946401843812555</v>
      </c>
      <c r="AZ339" s="32" t="str">
        <f t="shared" ref="AZ339:AZ402" si="320">IMSUM(COMPLEX(1,0),IMDIV(COMPLEX(0,2*PI()*O339),COMPLEX(wz_ea,0)))</f>
        <v>1+15.6642730236828i</v>
      </c>
      <c r="BA339" s="32">
        <f t="shared" si="294"/>
        <v>15.696160338136098</v>
      </c>
      <c r="BB339" s="32">
        <f t="shared" si="295"/>
        <v>1.507043300075813</v>
      </c>
      <c r="BC339" s="60" t="str">
        <f t="shared" si="296"/>
        <v>-0.389537933825893+0.365239949089777i</v>
      </c>
      <c r="BD339" s="51">
        <f t="shared" si="297"/>
        <v>-5.449418207671858</v>
      </c>
      <c r="BE339" s="63">
        <f t="shared" si="298"/>
        <v>136.84384225517712</v>
      </c>
      <c r="BF339" s="60" t="str">
        <f t="shared" si="299"/>
        <v>0.265387385595538+0.204269753864262i</v>
      </c>
      <c r="BG339" s="66">
        <f t="shared" si="300"/>
        <v>-9.5017517718940656</v>
      </c>
      <c r="BH339" s="63">
        <f t="shared" si="301"/>
        <v>37.585625589948542</v>
      </c>
      <c r="BI339" s="60" t="e">
        <f t="shared" si="306"/>
        <v>#NUM!</v>
      </c>
      <c r="BJ339" s="66" t="e">
        <f t="shared" si="302"/>
        <v>#NUM!</v>
      </c>
      <c r="BK339" s="63" t="e">
        <f t="shared" si="307"/>
        <v>#NUM!</v>
      </c>
      <c r="BL339" s="51">
        <f t="shared" si="303"/>
        <v>-9.5017517718940656</v>
      </c>
      <c r="BM339" s="63">
        <f t="shared" si="304"/>
        <v>37.585625589948542</v>
      </c>
    </row>
    <row r="340" spans="14:65" x14ac:dyDescent="0.3">
      <c r="N340" s="11">
        <v>22</v>
      </c>
      <c r="O340" s="52">
        <f t="shared" si="308"/>
        <v>16595.869074375616</v>
      </c>
      <c r="P340" s="50" t="str">
        <f t="shared" si="309"/>
        <v>23.3035714285714</v>
      </c>
      <c r="Q340" s="18" t="str">
        <f t="shared" si="310"/>
        <v>1+39.5499877904031i</v>
      </c>
      <c r="R340" s="18">
        <f t="shared" ref="R340:R403" si="321">IMABS(Q340)</f>
        <v>39.562627999426866</v>
      </c>
      <c r="S340" s="18">
        <f t="shared" ref="S340:S403" si="322">IMARGUMENT(Q340)</f>
        <v>1.5455172550102712</v>
      </c>
      <c r="T340" s="18" t="str">
        <f t="shared" si="311"/>
        <v>1+0.184566609688548i</v>
      </c>
      <c r="U340" s="18">
        <f t="shared" ref="U340:U403" si="323">IMABS(T340)</f>
        <v>1.0168897842991269</v>
      </c>
      <c r="V340" s="18">
        <f t="shared" ref="V340:V403" si="324">IMARGUMENT(T340)</f>
        <v>0.18251268538995868</v>
      </c>
      <c r="W340" s="32" t="str">
        <f t="shared" si="312"/>
        <v>1-0.254894250668427i</v>
      </c>
      <c r="X340" s="18">
        <f t="shared" ref="X340:X403" si="325">IMABS(W340)</f>
        <v>1.0319743596736399</v>
      </c>
      <c r="Y340" s="18">
        <f t="shared" ref="Y340:Y403" si="326">IMARGUMENT(W340)</f>
        <v>-0.24957968570830985</v>
      </c>
      <c r="Z340" s="32" t="str">
        <f t="shared" si="313"/>
        <v>0.998898308518665+0.125101229270391i</v>
      </c>
      <c r="AA340" s="18">
        <f t="shared" ref="AA340:AA403" si="327">IMABS(Z340)</f>
        <v>1.0067016183191586</v>
      </c>
      <c r="AB340" s="18">
        <f t="shared" ref="AB340:AB403" si="328">IMARGUMENT(Z340)</f>
        <v>0.12459051177833119</v>
      </c>
      <c r="AC340" s="68" t="str">
        <f t="shared" ref="AC340:AC403" si="329">(IMDIV(IMPRODUCT(P340,T340,W340),IMPRODUCT(Q340,Z340)))</f>
        <v>-0.10168827942015-0.605536622901107i</v>
      </c>
      <c r="AD340" s="66">
        <f t="shared" ref="AD340:AD403" si="330">20*LOG(IMABS(AC340))</f>
        <v>-4.2364124628585857</v>
      </c>
      <c r="AE340" s="63">
        <f t="shared" ref="AE340:AE403" si="331">(180/PI())*IMARGUMENT(AC340)</f>
        <v>-99.532782431850151</v>
      </c>
      <c r="AF340" s="51" t="e">
        <f t="shared" ref="AF340:AF403" si="332">COMPLEX($B$68,0)</f>
        <v>#NUM!</v>
      </c>
      <c r="AG340" s="51" t="str">
        <f t="shared" si="314"/>
        <v>1-55.3699829065644i</v>
      </c>
      <c r="AH340" s="51">
        <f t="shared" ref="AH340:AH403" si="333">IMABS(AG340)</f>
        <v>55.379012333854732</v>
      </c>
      <c r="AI340" s="51">
        <f t="shared" ref="AI340:AI403" si="334">IMARGUMENT(AG340)</f>
        <v>-1.5527379629730635</v>
      </c>
      <c r="AJ340" s="51" t="str">
        <f t="shared" si="315"/>
        <v>1+0.184566609688548i</v>
      </c>
      <c r="AK340" s="51">
        <f t="shared" ref="AK340:AK403" si="335">IMABS(AJ340)</f>
        <v>1.0168897842991269</v>
      </c>
      <c r="AL340" s="51">
        <f t="shared" ref="AL340:AL403" si="336">IMARGUMENT(AJ340)</f>
        <v>0.18251268538995868</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-0.000170731707317073</v>
      </c>
      <c r="AT340" s="32" t="str">
        <f t="shared" si="318"/>
        <v>0.00396244698766373i</v>
      </c>
      <c r="AU340" s="32">
        <f t="shared" ref="AU340:AU403" si="342">IMABS(AT340)</f>
        <v>3.96244698766373E-3</v>
      </c>
      <c r="AV340" s="32">
        <f t="shared" ref="AV340:AV403" si="343">IMARGUMENT(AT340)</f>
        <v>1.5707963267948966</v>
      </c>
      <c r="AW340" s="32" t="str">
        <f t="shared" si="319"/>
        <v>1+0.843638990226688i</v>
      </c>
      <c r="AX340" s="32">
        <f t="shared" ref="AX340:AX403" si="344">IMABS(AW340)</f>
        <v>1.3083297542403849</v>
      </c>
      <c r="AY340" s="32">
        <f t="shared" ref="AY340:AY403" si="345">IMARGUMENT(AW340)</f>
        <v>0.70078955892407679</v>
      </c>
      <c r="AZ340" s="32" t="str">
        <f t="shared" si="320"/>
        <v>1+16.0291408143071i</v>
      </c>
      <c r="BA340" s="32">
        <f t="shared" ref="BA340:BA403" si="346">IMABS(AZ340)</f>
        <v>16.060303709609162</v>
      </c>
      <c r="BB340" s="32">
        <f t="shared" ref="BB340:BB403" si="347">IMARGUMENT(AZ340)</f>
        <v>1.5084906998426968</v>
      </c>
      <c r="BC340" s="60" t="str">
        <f t="shared" ref="BC340:BC403" si="348">IMPRODUCT(AS340,IMDIV(AZ340,IMPRODUCT(AT340,AW340)))</f>
        <v>-0.382248183293842+0.365566914015573i</v>
      </c>
      <c r="BD340" s="51">
        <f t="shared" ref="BD340:BD403" si="349">20*LOG(IMABS(BC340))</f>
        <v>-5.5322549239892149</v>
      </c>
      <c r="BE340" s="63">
        <f t="shared" ref="BE340:BE403" si="350">(180/PI())*IMARGUMENT(BC340)</f>
        <v>136.27786648253829</v>
      </c>
      <c r="BF340" s="60" t="str">
        <f t="shared" ref="BF340:BF403" si="351">IMPRODUCT(AC340,BC340)</f>
        <v>0.260234314627998+0.194291403522659i</v>
      </c>
      <c r="BG340" s="66">
        <f t="shared" ref="BG340:BG403" si="352">20*LOG(IMABS(BF340))</f>
        <v>-9.7686673868478042</v>
      </c>
      <c r="BH340" s="63">
        <f t="shared" ref="BH340:BH403" si="353">(180/PI())*IMARGUMENT(BF340)</f>
        <v>36.745084050688185</v>
      </c>
      <c r="BI340" s="60" t="e">
        <f t="shared" si="306"/>
        <v>#NUM!</v>
      </c>
      <c r="BJ340" s="66" t="e">
        <f t="shared" ref="BJ340:BJ403" si="354">20*LOG(IMABS(BI340))</f>
        <v>#NUM!</v>
      </c>
      <c r="BK340" s="63" t="e">
        <f t="shared" si="307"/>
        <v>#NUM!</v>
      </c>
      <c r="BL340" s="51">
        <f t="shared" ref="BL340:BL403" si="355">IF($B$31=0,BJ340,BG340)</f>
        <v>-9.7686673868478042</v>
      </c>
      <c r="BM340" s="63">
        <f t="shared" ref="BM340:BM403" si="356">IF($B$31=0,BK340,BH340)</f>
        <v>36.745084050688185</v>
      </c>
    </row>
    <row r="341" spans="14:65" x14ac:dyDescent="0.3">
      <c r="N341" s="11">
        <v>23</v>
      </c>
      <c r="O341" s="52">
        <f t="shared" si="308"/>
        <v>16982.436524617482</v>
      </c>
      <c r="P341" s="50" t="str">
        <f t="shared" si="309"/>
        <v>23.3035714285714</v>
      </c>
      <c r="Q341" s="18" t="str">
        <f t="shared" si="310"/>
        <v>1+40.4712253507091i</v>
      </c>
      <c r="R341" s="18">
        <f t="shared" si="321"/>
        <v>40.483577922262242</v>
      </c>
      <c r="S341" s="18">
        <f t="shared" si="322"/>
        <v>1.5460924401267697</v>
      </c>
      <c r="T341" s="18" t="str">
        <f t="shared" si="311"/>
        <v>1+0.188865718303309i</v>
      </c>
      <c r="U341" s="18">
        <f t="shared" si="323"/>
        <v>1.0176788587517307</v>
      </c>
      <c r="V341" s="18">
        <f t="shared" si="324"/>
        <v>0.18666695835790273</v>
      </c>
      <c r="W341" s="32" t="str">
        <f t="shared" si="312"/>
        <v>1-0.260831500481657i</v>
      </c>
      <c r="X341" s="18">
        <f t="shared" si="325"/>
        <v>1.0334568552404657</v>
      </c>
      <c r="Y341" s="18">
        <f t="shared" si="326"/>
        <v>-0.25514675091744154</v>
      </c>
      <c r="Z341" s="32" t="str">
        <f t="shared" si="313"/>
        <v>0.998846387398749+0.1280152112381i</v>
      </c>
      <c r="AA341" s="18">
        <f t="shared" si="327"/>
        <v>1.0070163851337608</v>
      </c>
      <c r="AB341" s="18">
        <f t="shared" si="328"/>
        <v>0.12746817179820971</v>
      </c>
      <c r="AC341" s="68" t="str">
        <f t="shared" si="329"/>
        <v>-0.102447429001102-0.592394548502128i</v>
      </c>
      <c r="AD341" s="66">
        <f t="shared" si="330"/>
        <v>-4.4197967527419282</v>
      </c>
      <c r="AE341" s="63">
        <f t="shared" si="331"/>
        <v>-99.811562918225633</v>
      </c>
      <c r="AF341" s="51" t="e">
        <f t="shared" si="332"/>
        <v>#NUM!</v>
      </c>
      <c r="AG341" s="51" t="str">
        <f t="shared" si="314"/>
        <v>1-56.6597154909928i</v>
      </c>
      <c r="AH341" s="51">
        <f t="shared" si="333"/>
        <v>56.668539415801519</v>
      </c>
      <c r="AI341" s="51">
        <f t="shared" si="334"/>
        <v>-1.5531489351863021</v>
      </c>
      <c r="AJ341" s="51" t="str">
        <f t="shared" si="315"/>
        <v>1+0.188865718303309i</v>
      </c>
      <c r="AK341" s="51">
        <f t="shared" si="335"/>
        <v>1.0176788587517307</v>
      </c>
      <c r="AL341" s="51">
        <f t="shared" si="336"/>
        <v>0.18666695835790273</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-0.000170731707317073</v>
      </c>
      <c r="AT341" s="32" t="str">
        <f t="shared" si="318"/>
        <v>0.00405474423476029i</v>
      </c>
      <c r="AU341" s="32">
        <f t="shared" si="342"/>
        <v>4.0547442347602901E-3</v>
      </c>
      <c r="AV341" s="32">
        <f t="shared" si="343"/>
        <v>1.5707963267948966</v>
      </c>
      <c r="AW341" s="32" t="str">
        <f t="shared" si="319"/>
        <v>1+0.863289866713786i</v>
      </c>
      <c r="AX341" s="32">
        <f t="shared" si="344"/>
        <v>1.3210864445488442</v>
      </c>
      <c r="AY341" s="32">
        <f t="shared" si="345"/>
        <v>0.71215909719688042</v>
      </c>
      <c r="AZ341" s="32" t="str">
        <f t="shared" si="320"/>
        <v>1+16.402507467562i</v>
      </c>
      <c r="BA341" s="32">
        <f t="shared" si="346"/>
        <v>16.43296233864811</v>
      </c>
      <c r="BB341" s="32">
        <f t="shared" si="347"/>
        <v>1.5099054053951964</v>
      </c>
      <c r="BC341" s="60" t="str">
        <f t="shared" si="348"/>
        <v>-0.374901686323991+0.365755479526462i</v>
      </c>
      <c r="BD341" s="51">
        <f t="shared" si="349"/>
        <v>-5.6172931622614</v>
      </c>
      <c r="BE341" s="63">
        <f t="shared" si="350"/>
        <v>135.7074965819061</v>
      </c>
      <c r="BF341" s="60" t="str">
        <f t="shared" si="351"/>
        <v>0.255079266048328+0.184619006682036i</v>
      </c>
      <c r="BG341" s="66">
        <f t="shared" si="352"/>
        <v>-10.037089915003332</v>
      </c>
      <c r="BH341" s="63">
        <f t="shared" si="353"/>
        <v>35.895933663680509</v>
      </c>
      <c r="BI341" s="60" t="e">
        <f t="shared" si="306"/>
        <v>#NUM!</v>
      </c>
      <c r="BJ341" s="66" t="e">
        <f t="shared" si="354"/>
        <v>#NUM!</v>
      </c>
      <c r="BK341" s="63" t="e">
        <f t="shared" si="307"/>
        <v>#NUM!</v>
      </c>
      <c r="BL341" s="51">
        <f t="shared" si="355"/>
        <v>-10.037089915003332</v>
      </c>
      <c r="BM341" s="63">
        <f t="shared" si="356"/>
        <v>35.895933663680509</v>
      </c>
    </row>
    <row r="342" spans="14:65" x14ac:dyDescent="0.3">
      <c r="N342" s="11">
        <v>24</v>
      </c>
      <c r="O342" s="52">
        <f t="shared" si="308"/>
        <v>17378.008287493791</v>
      </c>
      <c r="P342" s="50" t="str">
        <f t="shared" si="309"/>
        <v>23.3035714285714</v>
      </c>
      <c r="Q342" s="18" t="str">
        <f t="shared" si="310"/>
        <v>1+41.4139212903956i</v>
      </c>
      <c r="R342" s="18">
        <f t="shared" si="321"/>
        <v>41.425992765980659</v>
      </c>
      <c r="S342" s="18">
        <f t="shared" si="322"/>
        <v>1.5466545482300773</v>
      </c>
      <c r="T342" s="18" t="str">
        <f t="shared" si="311"/>
        <v>1+0.193264966021846i</v>
      </c>
      <c r="U342" s="18">
        <f t="shared" si="323"/>
        <v>1.0185044659162892</v>
      </c>
      <c r="V342" s="18">
        <f t="shared" si="324"/>
        <v>0.190911257943639</v>
      </c>
      <c r="W342" s="32" t="str">
        <f t="shared" si="312"/>
        <v>1-0.266907046608952i</v>
      </c>
      <c r="X342" s="18">
        <f t="shared" si="325"/>
        <v>1.0350069427445949</v>
      </c>
      <c r="Y342" s="18">
        <f t="shared" si="326"/>
        <v>-0.26082679942169812</v>
      </c>
      <c r="Z342" s="32" t="str">
        <f t="shared" si="313"/>
        <v>0.998792019311839+0.130997068565288i</v>
      </c>
      <c r="AA342" s="18">
        <f t="shared" si="327"/>
        <v>1.0073458839017111</v>
      </c>
      <c r="AB342" s="18">
        <f t="shared" si="328"/>
        <v>0.13041113416661049</v>
      </c>
      <c r="AC342" s="68" t="str">
        <f t="shared" si="329"/>
        <v>-0.103180270178605-0.579564115230886i</v>
      </c>
      <c r="AD342" s="66">
        <f t="shared" si="330"/>
        <v>-4.6024571180562406</v>
      </c>
      <c r="AE342" s="63">
        <f t="shared" si="331"/>
        <v>-100.09465101662218</v>
      </c>
      <c r="AF342" s="51" t="e">
        <f t="shared" si="332"/>
        <v>#NUM!</v>
      </c>
      <c r="AG342" s="51" t="str">
        <f t="shared" si="314"/>
        <v>1-57.9794898065539i</v>
      </c>
      <c r="AH342" s="51">
        <f t="shared" si="333"/>
        <v>57.988112904528002</v>
      </c>
      <c r="AI342" s="51">
        <f t="shared" si="334"/>
        <v>-1.5535505582907825</v>
      </c>
      <c r="AJ342" s="51" t="str">
        <f t="shared" si="315"/>
        <v>1+0.193264966021846i</v>
      </c>
      <c r="AK342" s="51">
        <f t="shared" si="335"/>
        <v>1.0185044659162892</v>
      </c>
      <c r="AL342" s="51">
        <f t="shared" si="336"/>
        <v>0.190911257943639</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-0.000170731707317073</v>
      </c>
      <c r="AT342" s="32" t="str">
        <f t="shared" si="318"/>
        <v>0.00414919136092099i</v>
      </c>
      <c r="AU342" s="32">
        <f t="shared" si="342"/>
        <v>4.1491913609209901E-3</v>
      </c>
      <c r="AV342" s="32">
        <f t="shared" si="343"/>
        <v>1.5707963267948966</v>
      </c>
      <c r="AW342" s="32" t="str">
        <f t="shared" si="319"/>
        <v>1+0.883398470915199i</v>
      </c>
      <c r="AX342" s="32">
        <f t="shared" si="344"/>
        <v>1.3343136282056447</v>
      </c>
      <c r="AY342" s="32">
        <f t="shared" si="345"/>
        <v>0.72356690478786911</v>
      </c>
      <c r="AZ342" s="32" t="str">
        <f t="shared" si="320"/>
        <v>1+16.7845709473888i</v>
      </c>
      <c r="BA342" s="32">
        <f t="shared" si="346"/>
        <v>16.814333822305542</v>
      </c>
      <c r="BB342" s="32">
        <f t="shared" si="347"/>
        <v>1.5112881441650934</v>
      </c>
      <c r="BC342" s="60" t="str">
        <f t="shared" si="348"/>
        <v>-0.367505652360145+0.365802119624789i</v>
      </c>
      <c r="BD342" s="51">
        <f t="shared" si="349"/>
        <v>-5.7045507610585275</v>
      </c>
      <c r="BE342" s="63">
        <f t="shared" si="350"/>
        <v>135.13310244912927</v>
      </c>
      <c r="BF342" s="60" t="str">
        <f t="shared" si="351"/>
        <v>0.249925114312608+0.175249526717665i</v>
      </c>
      <c r="BG342" s="66">
        <f t="shared" si="352"/>
        <v>-10.30700787911476</v>
      </c>
      <c r="BH342" s="63">
        <f t="shared" si="353"/>
        <v>35.038451432507095</v>
      </c>
      <c r="BI342" s="60" t="e">
        <f t="shared" si="306"/>
        <v>#NUM!</v>
      </c>
      <c r="BJ342" s="66" t="e">
        <f t="shared" si="354"/>
        <v>#NUM!</v>
      </c>
      <c r="BK342" s="63" t="e">
        <f t="shared" si="307"/>
        <v>#NUM!</v>
      </c>
      <c r="BL342" s="51">
        <f t="shared" si="355"/>
        <v>-10.30700787911476</v>
      </c>
      <c r="BM342" s="63">
        <f t="shared" si="356"/>
        <v>35.038451432507095</v>
      </c>
    </row>
    <row r="343" spans="14:65" x14ac:dyDescent="0.3">
      <c r="N343" s="11">
        <v>25</v>
      </c>
      <c r="O343" s="52">
        <f t="shared" si="308"/>
        <v>17782.794100389234</v>
      </c>
      <c r="P343" s="50" t="str">
        <f t="shared" si="309"/>
        <v>23.3035714285714</v>
      </c>
      <c r="Q343" s="18" t="str">
        <f t="shared" si="310"/>
        <v>1+42.3785754393283i</v>
      </c>
      <c r="R343" s="18">
        <f t="shared" si="321"/>
        <v>42.390372211940296</v>
      </c>
      <c r="S343" s="18">
        <f t="shared" si="322"/>
        <v>1.5472038759356828</v>
      </c>
      <c r="T343" s="18" t="str">
        <f t="shared" si="311"/>
        <v>1+0.197766685383532i</v>
      </c>
      <c r="U343" s="18">
        <f t="shared" si="323"/>
        <v>1.0193682660587335</v>
      </c>
      <c r="V343" s="18">
        <f t="shared" si="324"/>
        <v>0.19524722257754606</v>
      </c>
      <c r="W343" s="32" t="str">
        <f t="shared" si="312"/>
        <v>1-0.273124110385292i</v>
      </c>
      <c r="X343" s="18">
        <f t="shared" si="325"/>
        <v>1.0366275993208733</v>
      </c>
      <c r="Y343" s="18">
        <f t="shared" si="326"/>
        <v>-0.26662137621140131</v>
      </c>
      <c r="Z343" s="32" t="str">
        <f t="shared" si="313"/>
        <v>0.998735088935933+0.13404838227218i</v>
      </c>
      <c r="AA343" s="18">
        <f t="shared" si="327"/>
        <v>1.0076907991351587</v>
      </c>
      <c r="AB343" s="18">
        <f t="shared" si="328"/>
        <v>0.13342079886278396</v>
      </c>
      <c r="AC343" s="68" t="str">
        <f t="shared" si="329"/>
        <v>-0.103888336357948-0.567038553472868i</v>
      </c>
      <c r="AD343" s="66">
        <f t="shared" si="330"/>
        <v>-4.784363232846526</v>
      </c>
      <c r="AE343" s="63">
        <f t="shared" si="331"/>
        <v>-100.38213858103688</v>
      </c>
      <c r="AF343" s="51" t="e">
        <f t="shared" si="332"/>
        <v>#NUM!</v>
      </c>
      <c r="AG343" s="51" t="str">
        <f t="shared" si="314"/>
        <v>1-59.3300056150598i</v>
      </c>
      <c r="AH343" s="51">
        <f t="shared" si="333"/>
        <v>59.338432455559747</v>
      </c>
      <c r="AI343" s="51">
        <f t="shared" si="334"/>
        <v>-1.5539430447138356</v>
      </c>
      <c r="AJ343" s="51" t="str">
        <f t="shared" si="315"/>
        <v>1+0.197766685383532i</v>
      </c>
      <c r="AK343" s="51">
        <f t="shared" si="335"/>
        <v>1.0193682660587335</v>
      </c>
      <c r="AL343" s="51">
        <f t="shared" si="336"/>
        <v>0.19524722257754606</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-0.000170731707317073</v>
      </c>
      <c r="AT343" s="32" t="str">
        <f t="shared" si="318"/>
        <v>0.00424583844326229i</v>
      </c>
      <c r="AU343" s="32">
        <f t="shared" si="342"/>
        <v>4.2458384432622898E-3</v>
      </c>
      <c r="AV343" s="32">
        <f t="shared" si="343"/>
        <v>1.5707963267948966</v>
      </c>
      <c r="AW343" s="32" t="str">
        <f t="shared" si="319"/>
        <v>1+0.903975464679052i</v>
      </c>
      <c r="AX343" s="32">
        <f t="shared" si="344"/>
        <v>1.3480250890624061</v>
      </c>
      <c r="AY343" s="32">
        <f t="shared" si="345"/>
        <v>0.73500715445302567</v>
      </c>
      <c r="AZ343" s="32" t="str">
        <f t="shared" si="320"/>
        <v>1+17.175533828902i</v>
      </c>
      <c r="BA343" s="32">
        <f t="shared" si="346"/>
        <v>17.204620376740575</v>
      </c>
      <c r="BB343" s="32">
        <f t="shared" si="347"/>
        <v>1.5126396281368371</v>
      </c>
      <c r="BC343" s="60" t="str">
        <f t="shared" si="348"/>
        <v>-0.360067494021751+0.365703721383456i</v>
      </c>
      <c r="BD343" s="51">
        <f t="shared" si="349"/>
        <v>-5.7940432529973487</v>
      </c>
      <c r="BE343" s="63">
        <f t="shared" si="350"/>
        <v>134.55505875440045</v>
      </c>
      <c r="BF343" s="60" t="str">
        <f t="shared" si="351"/>
        <v>0.244774922103415+0.166179799748256i</v>
      </c>
      <c r="BG343" s="66">
        <f t="shared" si="352"/>
        <v>-10.578406485843878</v>
      </c>
      <c r="BH343" s="63">
        <f t="shared" si="353"/>
        <v>34.172920173363472</v>
      </c>
      <c r="BI343" s="60" t="e">
        <f t="shared" si="306"/>
        <v>#NUM!</v>
      </c>
      <c r="BJ343" s="66" t="e">
        <f t="shared" si="354"/>
        <v>#NUM!</v>
      </c>
      <c r="BK343" s="63" t="e">
        <f t="shared" si="307"/>
        <v>#NUM!</v>
      </c>
      <c r="BL343" s="51">
        <f t="shared" si="355"/>
        <v>-10.578406485843878</v>
      </c>
      <c r="BM343" s="63">
        <f t="shared" si="356"/>
        <v>34.172920173363472</v>
      </c>
    </row>
    <row r="344" spans="14:65" x14ac:dyDescent="0.3">
      <c r="N344" s="11">
        <v>26</v>
      </c>
      <c r="O344" s="52">
        <f t="shared" si="308"/>
        <v>18197.008586099837</v>
      </c>
      <c r="P344" s="50" t="str">
        <f t="shared" si="309"/>
        <v>23.3035714285714</v>
      </c>
      <c r="Q344" s="18" t="str">
        <f t="shared" si="310"/>
        <v>1+43.365699269906i</v>
      </c>
      <c r="R344" s="18">
        <f t="shared" si="321"/>
        <v>43.377227587386521</v>
      </c>
      <c r="S344" s="18">
        <f t="shared" si="322"/>
        <v>1.5477407131775223</v>
      </c>
      <c r="T344" s="18" t="str">
        <f t="shared" si="311"/>
        <v>1+0.202373263259561i</v>
      </c>
      <c r="U344" s="18">
        <f t="shared" si="323"/>
        <v>1.0202719920111125</v>
      </c>
      <c r="V344" s="18">
        <f t="shared" si="324"/>
        <v>0.19967649878263841</v>
      </c>
      <c r="W344" s="32" t="str">
        <f t="shared" si="312"/>
        <v>1-0.279485988180185i</v>
      </c>
      <c r="X344" s="18">
        <f t="shared" si="325"/>
        <v>1.038321923869979</v>
      </c>
      <c r="Y344" s="18">
        <f t="shared" si="326"/>
        <v>-0.27253199649354543</v>
      </c>
      <c r="Z344" s="32" t="str">
        <f t="shared" si="313"/>
        <v>0.99867547551407+0.137170770205693i</v>
      </c>
      <c r="AA344" s="18">
        <f t="shared" si="327"/>
        <v>1.0080518466785708</v>
      </c>
      <c r="AB344" s="18">
        <f t="shared" si="328"/>
        <v>0.1364985901020204</v>
      </c>
      <c r="AC344" s="68" t="str">
        <f t="shared" si="329"/>
        <v>-0.104573107309289-0.55481124409611i</v>
      </c>
      <c r="AD344" s="66">
        <f t="shared" si="330"/>
        <v>-4.9654837410687556</v>
      </c>
      <c r="AE344" s="63">
        <f t="shared" si="331"/>
        <v>-100.67411630113202</v>
      </c>
      <c r="AF344" s="51" t="e">
        <f t="shared" si="332"/>
        <v>#NUM!</v>
      </c>
      <c r="AG344" s="51" t="str">
        <f t="shared" si="314"/>
        <v>1-60.7119789778685i</v>
      </c>
      <c r="AH344" s="51">
        <f t="shared" si="333"/>
        <v>60.720214026377953</v>
      </c>
      <c r="AI344" s="51">
        <f t="shared" si="334"/>
        <v>-1.554326602072994</v>
      </c>
      <c r="AJ344" s="51" t="str">
        <f t="shared" si="315"/>
        <v>1+0.202373263259561i</v>
      </c>
      <c r="AK344" s="51">
        <f t="shared" si="335"/>
        <v>1.0202719920111125</v>
      </c>
      <c r="AL344" s="51">
        <f t="shared" si="336"/>
        <v>0.19967649878263841</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-0.000170731707317073</v>
      </c>
      <c r="AT344" s="32" t="str">
        <f t="shared" si="318"/>
        <v>0.00434473672534652i</v>
      </c>
      <c r="AU344" s="32">
        <f t="shared" si="342"/>
        <v>4.3447367253465199E-3</v>
      </c>
      <c r="AV344" s="32">
        <f t="shared" si="343"/>
        <v>1.5707963267948966</v>
      </c>
      <c r="AW344" s="32" t="str">
        <f t="shared" si="319"/>
        <v>1+0.925031758199813i</v>
      </c>
      <c r="AX344" s="32">
        <f t="shared" si="344"/>
        <v>1.3622348379329599</v>
      </c>
      <c r="AY344" s="32">
        <f t="shared" si="345"/>
        <v>0.74647393458646083</v>
      </c>
      <c r="AZ344" s="32" t="str">
        <f t="shared" si="320"/>
        <v>1+17.5756034057965i</v>
      </c>
      <c r="BA344" s="32">
        <f t="shared" si="346"/>
        <v>17.604028944473068</v>
      </c>
      <c r="BB344" s="32">
        <f t="shared" si="347"/>
        <v>1.5139605541259737</v>
      </c>
      <c r="BC344" s="60" t="str">
        <f t="shared" si="348"/>
        <v>-0.352594798328291+0.365457600962614i</v>
      </c>
      <c r="BD344" s="51">
        <f t="shared" si="349"/>
        <v>-5.8857838100751723</v>
      </c>
      <c r="BE344" s="63">
        <f t="shared" si="350"/>
        <v>133.97374413237679</v>
      </c>
      <c r="BF344" s="60" t="str">
        <f t="shared" si="351"/>
        <v>0.239631919936729+0.157406521799877i</v>
      </c>
      <c r="BG344" s="66">
        <f t="shared" si="352"/>
        <v>-10.851267551143934</v>
      </c>
      <c r="BH344" s="63">
        <f t="shared" si="353"/>
        <v>33.299627831244727</v>
      </c>
      <c r="BI344" s="60" t="e">
        <f t="shared" si="306"/>
        <v>#NUM!</v>
      </c>
      <c r="BJ344" s="66" t="e">
        <f t="shared" si="354"/>
        <v>#NUM!</v>
      </c>
      <c r="BK344" s="63" t="e">
        <f t="shared" si="307"/>
        <v>#NUM!</v>
      </c>
      <c r="BL344" s="51">
        <f t="shared" si="355"/>
        <v>-10.851267551143934</v>
      </c>
      <c r="BM344" s="63">
        <f t="shared" si="356"/>
        <v>33.299627831244727</v>
      </c>
    </row>
    <row r="345" spans="14:65" x14ac:dyDescent="0.3">
      <c r="N345" s="11">
        <v>27</v>
      </c>
      <c r="O345" s="52">
        <f t="shared" si="308"/>
        <v>18620.871366628675</v>
      </c>
      <c r="P345" s="50" t="str">
        <f t="shared" si="309"/>
        <v>23.3035714285714</v>
      </c>
      <c r="Q345" s="18" t="str">
        <f t="shared" si="310"/>
        <v>1+44.3758161682494i</v>
      </c>
      <c r="R345" s="18">
        <f t="shared" si="321"/>
        <v>44.387082136566093</v>
      </c>
      <c r="S345" s="18">
        <f t="shared" si="322"/>
        <v>1.5482653433553906</v>
      </c>
      <c r="T345" s="18" t="str">
        <f t="shared" si="311"/>
        <v>1+0.207087142118497i</v>
      </c>
      <c r="U345" s="18">
        <f t="shared" si="323"/>
        <v>1.02121745207904</v>
      </c>
      <c r="V345" s="18">
        <f t="shared" si="324"/>
        <v>0.20420073952305418</v>
      </c>
      <c r="W345" s="32" t="str">
        <f t="shared" si="312"/>
        <v>1-0.285996053145445i</v>
      </c>
      <c r="X345" s="18">
        <f t="shared" si="325"/>
        <v>1.0400931412209062</v>
      </c>
      <c r="Y345" s="18">
        <f t="shared" si="326"/>
        <v>-0.27856014157638442</v>
      </c>
      <c r="Z345" s="32" t="str">
        <f t="shared" si="313"/>
        <v>0.99861305259819+0.14036588789724i</v>
      </c>
      <c r="AA345" s="18">
        <f t="shared" si="327"/>
        <v>1.0084297750982247</v>
      </c>
      <c r="AB345" s="18">
        <f t="shared" si="328"/>
        <v>0.13964595633550458</v>
      </c>
      <c r="AC345" s="68" t="str">
        <f t="shared" si="329"/>
        <v>-0.105236012129614-0.542875715088787i</v>
      </c>
      <c r="AD345" s="66">
        <f t="shared" si="330"/>
        <v>-5.1457862379034527</v>
      </c>
      <c r="AE345" s="63">
        <f t="shared" si="331"/>
        <v>-100.970673569502</v>
      </c>
      <c r="AF345" s="51" t="e">
        <f t="shared" si="332"/>
        <v>#NUM!</v>
      </c>
      <c r="AG345" s="51" t="str">
        <f t="shared" si="314"/>
        <v>1-62.1261426355493i</v>
      </c>
      <c r="AH345" s="51">
        <f t="shared" si="333"/>
        <v>62.134190256030671</v>
      </c>
      <c r="AI345" s="51">
        <f t="shared" si="334"/>
        <v>-1.5547014332837676</v>
      </c>
      <c r="AJ345" s="51" t="str">
        <f t="shared" si="315"/>
        <v>1+0.207087142118497i</v>
      </c>
      <c r="AK345" s="51">
        <f t="shared" si="335"/>
        <v>1.02121745207904</v>
      </c>
      <c r="AL345" s="51">
        <f t="shared" si="336"/>
        <v>0.20420073952305418</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-0.000170731707317073</v>
      </c>
      <c r="AT345" s="32" t="str">
        <f t="shared" si="318"/>
        <v>0.00444593864435193i</v>
      </c>
      <c r="AU345" s="32">
        <f t="shared" si="342"/>
        <v>4.4459386443519303E-3</v>
      </c>
      <c r="AV345" s="32">
        <f t="shared" si="343"/>
        <v>1.5707963267948966</v>
      </c>
      <c r="AW345" s="32" t="str">
        <f t="shared" si="319"/>
        <v>1+0.946578515803013i</v>
      </c>
      <c r="AX345" s="32">
        <f t="shared" si="344"/>
        <v>1.3769571113799568</v>
      </c>
      <c r="AY345" s="32">
        <f t="shared" si="345"/>
        <v>0.75796126416404341</v>
      </c>
      <c r="AZ345" s="32" t="str">
        <f t="shared" si="320"/>
        <v>1+17.9849918002573i</v>
      </c>
      <c r="BA345" s="32">
        <f t="shared" si="346"/>
        <v>18.012771304142028</v>
      </c>
      <c r="BB345" s="32">
        <f t="shared" si="347"/>
        <v>1.5152516040560209</v>
      </c>
      <c r="BC345" s="60" t="str">
        <f t="shared" si="348"/>
        <v>-0.345095296403886+0.365061517160239i</v>
      </c>
      <c r="BD345" s="51">
        <f t="shared" si="349"/>
        <v>-5.9797831979072473</v>
      </c>
      <c r="BE345" s="63">
        <f t="shared" si="350"/>
        <v>133.38954034183794</v>
      </c>
      <c r="BF345" s="60" t="str">
        <f t="shared" si="351"/>
        <v>0.234499484977994+0.148926237561106i</v>
      </c>
      <c r="BG345" s="66">
        <f t="shared" si="352"/>
        <v>-11.125569435810711</v>
      </c>
      <c r="BH345" s="63">
        <f t="shared" si="353"/>
        <v>32.418866772335932</v>
      </c>
      <c r="BI345" s="60" t="e">
        <f t="shared" si="306"/>
        <v>#NUM!</v>
      </c>
      <c r="BJ345" s="66" t="e">
        <f t="shared" si="354"/>
        <v>#NUM!</v>
      </c>
      <c r="BK345" s="63" t="e">
        <f t="shared" si="307"/>
        <v>#NUM!</v>
      </c>
      <c r="BL345" s="51">
        <f t="shared" si="355"/>
        <v>-11.125569435810711</v>
      </c>
      <c r="BM345" s="63">
        <f t="shared" si="356"/>
        <v>32.418866772335932</v>
      </c>
    </row>
    <row r="346" spans="14:65" x14ac:dyDescent="0.3">
      <c r="N346" s="11">
        <v>28</v>
      </c>
      <c r="O346" s="52">
        <f t="shared" si="308"/>
        <v>19054.607179632505</v>
      </c>
      <c r="P346" s="50" t="str">
        <f t="shared" si="309"/>
        <v>23.3035714285714</v>
      </c>
      <c r="Q346" s="18" t="str">
        <f t="shared" si="310"/>
        <v>1+45.409461711709i</v>
      </c>
      <c r="R346" s="18">
        <f t="shared" si="321"/>
        <v>45.420471298162077</v>
      </c>
      <c r="S346" s="18">
        <f t="shared" si="322"/>
        <v>1.5487780434793101</v>
      </c>
      <c r="T346" s="18" t="str">
        <f t="shared" si="311"/>
        <v>1+0.211910821321309i</v>
      </c>
      <c r="U346" s="18">
        <f t="shared" si="323"/>
        <v>1.0222065330416705</v>
      </c>
      <c r="V346" s="18">
        <f t="shared" si="324"/>
        <v>0.20882160241681227</v>
      </c>
      <c r="W346" s="32" t="str">
        <f t="shared" si="312"/>
        <v>1-0.29265775700369i</v>
      </c>
      <c r="X346" s="18">
        <f t="shared" si="325"/>
        <v>1.0419446063656315</v>
      </c>
      <c r="Y346" s="18">
        <f t="shared" si="326"/>
        <v>-0.28470725454249868</v>
      </c>
      <c r="Z346" s="32" t="str">
        <f t="shared" si="313"/>
        <v>0.99854768778092+0.143635429440512i</v>
      </c>
      <c r="AA346" s="18">
        <f t="shared" si="327"/>
        <v>1.0088253671291092</v>
      </c>
      <c r="AB346" s="18">
        <f t="shared" si="328"/>
        <v>0.14286437021379519</v>
      </c>
      <c r="AC346" s="68" t="str">
        <f t="shared" si="329"/>
        <v>-0.105878432088057-0.531225638227604i</v>
      </c>
      <c r="AD346" s="66">
        <f t="shared" si="330"/>
        <v>-5.3252372525206439</v>
      </c>
      <c r="AE346" s="63">
        <f t="shared" si="331"/>
        <v>-101.27189834233836</v>
      </c>
      <c r="AF346" s="51" t="e">
        <f t="shared" si="332"/>
        <v>#NUM!</v>
      </c>
      <c r="AG346" s="51" t="str">
        <f t="shared" si="314"/>
        <v>1-63.5732463963927i</v>
      </c>
      <c r="AH346" s="51">
        <f t="shared" si="333"/>
        <v>63.581110853589657</v>
      </c>
      <c r="AI346" s="51">
        <f t="shared" si="334"/>
        <v>-1.5550677366650787</v>
      </c>
      <c r="AJ346" s="51" t="str">
        <f t="shared" si="315"/>
        <v>1+0.211910821321309i</v>
      </c>
      <c r="AK346" s="51">
        <f t="shared" si="335"/>
        <v>1.0222065330416705</v>
      </c>
      <c r="AL346" s="51">
        <f t="shared" si="336"/>
        <v>0.20882160241681227</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-0.000170731707317073</v>
      </c>
      <c r="AT346" s="32" t="str">
        <f t="shared" si="318"/>
        <v>0.00454949785887553i</v>
      </c>
      <c r="AU346" s="32">
        <f t="shared" si="342"/>
        <v>4.5494978588755302E-3</v>
      </c>
      <c r="AV346" s="32">
        <f t="shared" si="343"/>
        <v>1.5707963267948966</v>
      </c>
      <c r="AW346" s="32" t="str">
        <f t="shared" si="319"/>
        <v>1+0.968627161864748i</v>
      </c>
      <c r="AX346" s="32">
        <f t="shared" si="344"/>
        <v>1.3922063707303443</v>
      </c>
      <c r="AY346" s="32">
        <f t="shared" si="345"/>
        <v>0.76946310812727747</v>
      </c>
      <c r="AZ346" s="32" t="str">
        <f t="shared" si="320"/>
        <v>1+18.4039160754303i</v>
      </c>
      <c r="BA346" s="32">
        <f t="shared" si="346"/>
        <v>18.431064182826823</v>
      </c>
      <c r="BB346" s="32">
        <f t="shared" si="347"/>
        <v>1.5165134452335158</v>
      </c>
      <c r="BC346" s="60" t="str">
        <f t="shared" si="348"/>
        <v>-0.337576831912711+0.364513682335514i</v>
      </c>
      <c r="BD346" s="51">
        <f t="shared" si="349"/>
        <v>-6.0760497392987975</v>
      </c>
      <c r="BE346" s="63">
        <f t="shared" si="350"/>
        <v>132.80283140001293</v>
      </c>
      <c r="BF346" s="60" t="str">
        <f t="shared" si="351"/>
        <v>0.229381119213549+0.140735330823354i</v>
      </c>
      <c r="BG346" s="66">
        <f t="shared" si="352"/>
        <v>-11.401286991819441</v>
      </c>
      <c r="BH346" s="63">
        <f t="shared" si="353"/>
        <v>31.530933057674503</v>
      </c>
      <c r="BI346" s="60" t="e">
        <f t="shared" si="306"/>
        <v>#NUM!</v>
      </c>
      <c r="BJ346" s="66" t="e">
        <f t="shared" si="354"/>
        <v>#NUM!</v>
      </c>
      <c r="BK346" s="63" t="e">
        <f t="shared" si="307"/>
        <v>#NUM!</v>
      </c>
      <c r="BL346" s="51">
        <f t="shared" si="355"/>
        <v>-11.401286991819441</v>
      </c>
      <c r="BM346" s="63">
        <f t="shared" si="356"/>
        <v>31.530933057674503</v>
      </c>
    </row>
    <row r="347" spans="14:65" x14ac:dyDescent="0.3">
      <c r="N347" s="11">
        <v>29</v>
      </c>
      <c r="O347" s="52">
        <f t="shared" si="308"/>
        <v>19498.445997580486</v>
      </c>
      <c r="P347" s="50" t="str">
        <f t="shared" si="309"/>
        <v>23.3035714285714</v>
      </c>
      <c r="Q347" s="18" t="str">
        <f t="shared" si="310"/>
        <v>1+46.4671839528327i</v>
      </c>
      <c r="R347" s="18">
        <f t="shared" si="321"/>
        <v>46.477942989189962</v>
      </c>
      <c r="S347" s="18">
        <f t="shared" si="322"/>
        <v>1.5492790843109017</v>
      </c>
      <c r="T347" s="18" t="str">
        <f t="shared" si="311"/>
        <v>1+0.216846858446553i</v>
      </c>
      <c r="U347" s="18">
        <f t="shared" si="323"/>
        <v>1.0232412032449334</v>
      </c>
      <c r="V347" s="18">
        <f t="shared" si="324"/>
        <v>0.21354074780630705</v>
      </c>
      <c r="W347" s="32" t="str">
        <f t="shared" si="312"/>
        <v>1-0.299474631878478i</v>
      </c>
      <c r="X347" s="18">
        <f t="shared" si="325"/>
        <v>1.0438798087609271</v>
      </c>
      <c r="Y347" s="18">
        <f t="shared" si="326"/>
        <v>-0.29097473570876631</v>
      </c>
      <c r="Z347" s="32" t="str">
        <f t="shared" si="313"/>
        <v>0.998479242414718+0.146981128389712i</v>
      </c>
      <c r="AA347" s="18">
        <f t="shared" si="327"/>
        <v>1.0092394411812204</v>
      </c>
      <c r="AB347" s="18">
        <f t="shared" si="328"/>
        <v>0.1461553285109522</v>
      </c>
      <c r="AC347" s="68" t="str">
        <f t="shared" si="329"/>
        <v>-0.106501703359282-0.519854825776238i</v>
      </c>
      <c r="AD347" s="66">
        <f t="shared" si="330"/>
        <v>-5.5038022324976685</v>
      </c>
      <c r="AE347" s="63">
        <f t="shared" si="331"/>
        <v>-101.57787699361114</v>
      </c>
      <c r="AF347" s="51" t="e">
        <f t="shared" si="332"/>
        <v>#NUM!</v>
      </c>
      <c r="AG347" s="51" t="str">
        <f t="shared" si="314"/>
        <v>1-65.0540575339659i</v>
      </c>
      <c r="AH347" s="51">
        <f t="shared" si="333"/>
        <v>65.061742995654114</v>
      </c>
      <c r="AI347" s="51">
        <f t="shared" si="334"/>
        <v>-1.555425706042403</v>
      </c>
      <c r="AJ347" s="51" t="str">
        <f t="shared" si="315"/>
        <v>1+0.216846858446553i</v>
      </c>
      <c r="AK347" s="51">
        <f t="shared" si="335"/>
        <v>1.0232412032449334</v>
      </c>
      <c r="AL347" s="51">
        <f t="shared" si="336"/>
        <v>0.21354074780630705</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-0.000170731707317073</v>
      </c>
      <c r="AT347" s="32" t="str">
        <f t="shared" si="318"/>
        <v>0.00465546927738363i</v>
      </c>
      <c r="AU347" s="32">
        <f t="shared" si="342"/>
        <v>4.6554692773836297E-3</v>
      </c>
      <c r="AV347" s="32">
        <f t="shared" si="343"/>
        <v>1.5707963267948966</v>
      </c>
      <c r="AW347" s="32" t="str">
        <f t="shared" si="319"/>
        <v>1+0.991189386868987i</v>
      </c>
      <c r="AX347" s="32">
        <f t="shared" si="344"/>
        <v>1.4079973013616605</v>
      </c>
      <c r="AY347" s="32">
        <f t="shared" si="345"/>
        <v>0.78097339311229141</v>
      </c>
      <c r="AZ347" s="32" t="str">
        <f t="shared" si="320"/>
        <v>1+18.8325983505108i</v>
      </c>
      <c r="BA347" s="32">
        <f t="shared" si="346"/>
        <v>18.859129370987997</v>
      </c>
      <c r="BB347" s="32">
        <f t="shared" si="347"/>
        <v>1.5177467306209818</v>
      </c>
      <c r="BC347" s="60" t="str">
        <f t="shared" si="348"/>
        <v>-0.330047328494824+0.363812770573039i</v>
      </c>
      <c r="BD347" s="51">
        <f t="shared" si="349"/>
        <v>-6.1745892875057828</v>
      </c>
      <c r="BE347" s="63">
        <f t="shared" si="350"/>
        <v>132.21400269701576</v>
      </c>
      <c r="BF347" s="60" t="str">
        <f t="shared" si="351"/>
        <v>0.224280427135297+0.132830016682701i</v>
      </c>
      <c r="BG347" s="66">
        <f t="shared" si="352"/>
        <v>-11.678391520003453</v>
      </c>
      <c r="BH347" s="63">
        <f t="shared" si="353"/>
        <v>30.63612570340457</v>
      </c>
      <c r="BI347" s="60" t="e">
        <f t="shared" si="306"/>
        <v>#NUM!</v>
      </c>
      <c r="BJ347" s="66" t="e">
        <f t="shared" si="354"/>
        <v>#NUM!</v>
      </c>
      <c r="BK347" s="63" t="e">
        <f t="shared" si="307"/>
        <v>#NUM!</v>
      </c>
      <c r="BL347" s="51">
        <f t="shared" si="355"/>
        <v>-11.678391520003453</v>
      </c>
      <c r="BM347" s="63">
        <f t="shared" si="356"/>
        <v>30.63612570340457</v>
      </c>
    </row>
    <row r="348" spans="14:65" x14ac:dyDescent="0.3">
      <c r="N348" s="11">
        <v>30</v>
      </c>
      <c r="O348" s="52">
        <f t="shared" si="308"/>
        <v>19952.623149688792</v>
      </c>
      <c r="P348" s="50" t="str">
        <f t="shared" si="309"/>
        <v>23.3035714285714</v>
      </c>
      <c r="Q348" s="18" t="str">
        <f t="shared" si="310"/>
        <v>1+47.5495437099545i</v>
      </c>
      <c r="R348" s="18">
        <f t="shared" si="321"/>
        <v>47.560057895516415</v>
      </c>
      <c r="S348" s="18">
        <f t="shared" si="322"/>
        <v>1.5497687305018122</v>
      </c>
      <c r="T348" s="18" t="str">
        <f t="shared" si="311"/>
        <v>1+0.221897870646454i</v>
      </c>
      <c r="U348" s="18">
        <f t="shared" si="323"/>
        <v>1.0243235157885571</v>
      </c>
      <c r="V348" s="18">
        <f t="shared" si="324"/>
        <v>0.21835983668004272</v>
      </c>
      <c r="W348" s="32" t="str">
        <f t="shared" si="312"/>
        <v>1-0.306450292167106i</v>
      </c>
      <c r="X348" s="18">
        <f t="shared" si="325"/>
        <v>1.04590237669168</v>
      </c>
      <c r="Y348" s="18">
        <f t="shared" si="326"/>
        <v>-0.29736393787278859</v>
      </c>
      <c r="Z348" s="32" t="str">
        <f t="shared" si="313"/>
        <v>0.998407571317786+0.15040475867871i</v>
      </c>
      <c r="AA348" s="18">
        <f t="shared" si="327"/>
        <v>1.0096728529072578</v>
      </c>
      <c r="AB348" s="18">
        <f t="shared" si="328"/>
        <v>0.14952035200614905</v>
      </c>
      <c r="AC348" s="68" t="str">
        <f t="shared" si="329"/>
        <v>-0.107107119649282-0.508757227212928i</v>
      </c>
      <c r="AD348" s="66">
        <f t="shared" si="330"/>
        <v>-5.6814455301049902</v>
      </c>
      <c r="AE348" s="63">
        <f t="shared" si="331"/>
        <v>-101.88869416293288</v>
      </c>
      <c r="AF348" s="51" t="e">
        <f t="shared" si="332"/>
        <v>#NUM!</v>
      </c>
      <c r="AG348" s="51" t="str">
        <f t="shared" si="314"/>
        <v>1-66.5693611939365i</v>
      </c>
      <c r="AH348" s="51">
        <f t="shared" si="333"/>
        <v>66.576871733123497</v>
      </c>
      <c r="AI348" s="51">
        <f t="shared" si="334"/>
        <v>-1.5557755308486652</v>
      </c>
      <c r="AJ348" s="51" t="str">
        <f t="shared" si="315"/>
        <v>1+0.221897870646454i</v>
      </c>
      <c r="AK348" s="51">
        <f t="shared" si="335"/>
        <v>1.0243235157885571</v>
      </c>
      <c r="AL348" s="51">
        <f t="shared" si="336"/>
        <v>0.21835983668004272</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-0.000170731707317073</v>
      </c>
      <c r="AT348" s="32" t="str">
        <f t="shared" si="318"/>
        <v>0.004763909087325i</v>
      </c>
      <c r="AU348" s="32">
        <f t="shared" si="342"/>
        <v>4.7639090873249999E-3</v>
      </c>
      <c r="AV348" s="32">
        <f t="shared" si="343"/>
        <v>1.5707963267948966</v>
      </c>
      <c r="AW348" s="32" t="str">
        <f t="shared" si="319"/>
        <v>1+1.01427715360609i</v>
      </c>
      <c r="AX348" s="32">
        <f t="shared" si="344"/>
        <v>1.4243448123004736</v>
      </c>
      <c r="AY348" s="32">
        <f t="shared" si="345"/>
        <v>0.79248602342488228</v>
      </c>
      <c r="AZ348" s="32" t="str">
        <f t="shared" si="320"/>
        <v>1+19.2712659185158i</v>
      </c>
      <c r="BA348" s="32">
        <f t="shared" si="346"/>
        <v>19.297193840093659</v>
      </c>
      <c r="BB348" s="32">
        <f t="shared" si="347"/>
        <v>1.518952099107604</v>
      </c>
      <c r="BC348" s="60" t="str">
        <f t="shared" si="348"/>
        <v>-0.322514756487264+0.362957922987914i</v>
      </c>
      <c r="BD348" s="51">
        <f t="shared" si="349"/>
        <v>-6.2754052094489712</v>
      </c>
      <c r="BE348" s="63">
        <f t="shared" si="350"/>
        <v>131.6234400960513</v>
      </c>
      <c r="BF348" s="60" t="str">
        <f t="shared" si="351"/>
        <v>0.219201093106035+0.125206335560592i</v>
      </c>
      <c r="BG348" s="66">
        <f t="shared" si="352"/>
        <v>-11.956850739553959</v>
      </c>
      <c r="BH348" s="63">
        <f t="shared" si="353"/>
        <v>29.734745933118472</v>
      </c>
      <c r="BI348" s="60" t="e">
        <f t="shared" si="306"/>
        <v>#NUM!</v>
      </c>
      <c r="BJ348" s="66" t="e">
        <f t="shared" si="354"/>
        <v>#NUM!</v>
      </c>
      <c r="BK348" s="63" t="e">
        <f t="shared" si="307"/>
        <v>#NUM!</v>
      </c>
      <c r="BL348" s="51">
        <f t="shared" si="355"/>
        <v>-11.956850739553959</v>
      </c>
      <c r="BM348" s="63">
        <f t="shared" si="356"/>
        <v>29.734745933118472</v>
      </c>
    </row>
    <row r="349" spans="14:65" x14ac:dyDescent="0.3">
      <c r="N349" s="11">
        <v>31</v>
      </c>
      <c r="O349" s="52">
        <f t="shared" si="308"/>
        <v>20417.379446695286</v>
      </c>
      <c r="P349" s="50" t="str">
        <f t="shared" si="309"/>
        <v>23.3035714285714</v>
      </c>
      <c r="Q349" s="18" t="str">
        <f t="shared" si="310"/>
        <v>1+48.6571148645437i</v>
      </c>
      <c r="R349" s="18">
        <f t="shared" si="321"/>
        <v>48.667389769140073</v>
      </c>
      <c r="S349" s="18">
        <f t="shared" si="322"/>
        <v>1.5502472407292396</v>
      </c>
      <c r="T349" s="18" t="str">
        <f t="shared" si="311"/>
        <v>1+0.227066536034537i</v>
      </c>
      <c r="U349" s="18">
        <f t="shared" si="323"/>
        <v>1.0254556118071243</v>
      </c>
      <c r="V349" s="18">
        <f t="shared" si="324"/>
        <v>0.2232805284389881</v>
      </c>
      <c r="W349" s="32" t="str">
        <f t="shared" si="312"/>
        <v>1-0.313588436456988i</v>
      </c>
      <c r="X349" s="18">
        <f t="shared" si="325"/>
        <v>1.0480160816893691</v>
      </c>
      <c r="Y349" s="18">
        <f t="shared" si="326"/>
        <v>-0.30387616134638284</v>
      </c>
      <c r="Z349" s="32" t="str">
        <f t="shared" si="313"/>
        <v>0.998332522466119+0.153908135561602i</v>
      </c>
      <c r="AA349" s="18">
        <f t="shared" si="327"/>
        <v>1.0101264968337444</v>
      </c>
      <c r="AB349" s="18">
        <f t="shared" si="328"/>
        <v>0.15296098531943506</v>
      </c>
      <c r="AC349" s="68" t="str">
        <f t="shared" si="329"/>
        <v>-0.107695934717713-0.497926925986323i</v>
      </c>
      <c r="AD349" s="66">
        <f t="shared" si="330"/>
        <v>-5.8581303906855613</v>
      </c>
      <c r="AE349" s="63">
        <f t="shared" si="331"/>
        <v>-102.20443259733234</v>
      </c>
      <c r="AF349" s="51" t="e">
        <f t="shared" si="332"/>
        <v>#NUM!</v>
      </c>
      <c r="AG349" s="51" t="str">
        <f t="shared" si="314"/>
        <v>1-68.1199608103613i</v>
      </c>
      <c r="AH349" s="51">
        <f t="shared" si="333"/>
        <v>68.127300407436962</v>
      </c>
      <c r="AI349" s="51">
        <f t="shared" si="334"/>
        <v>-1.5561173962229258</v>
      </c>
      <c r="AJ349" s="51" t="str">
        <f t="shared" si="315"/>
        <v>1+0.227066536034537i</v>
      </c>
      <c r="AK349" s="51">
        <f t="shared" si="335"/>
        <v>1.0254556118071243</v>
      </c>
      <c r="AL349" s="51">
        <f t="shared" si="336"/>
        <v>0.2232805284389881</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-0.000170731707317073</v>
      </c>
      <c r="AT349" s="32" t="str">
        <f t="shared" si="318"/>
        <v>0.00487487478492228i</v>
      </c>
      <c r="AU349" s="32">
        <f t="shared" si="342"/>
        <v>4.8748747849222803E-3</v>
      </c>
      <c r="AV349" s="32">
        <f t="shared" si="343"/>
        <v>1.5707963267948966</v>
      </c>
      <c r="AW349" s="32" t="str">
        <f t="shared" si="319"/>
        <v>1+1.03790270351558i</v>
      </c>
      <c r="AX349" s="32">
        <f t="shared" si="344"/>
        <v>1.4412640361727442</v>
      </c>
      <c r="AY349" s="32">
        <f t="shared" si="345"/>
        <v>0.80399489715940087</v>
      </c>
      <c r="AZ349" s="32" t="str">
        <f t="shared" si="320"/>
        <v>1+19.7201513667961i</v>
      </c>
      <c r="BA349" s="32">
        <f t="shared" si="346"/>
        <v>19.7454898629877</v>
      </c>
      <c r="BB349" s="32">
        <f t="shared" si="347"/>
        <v>1.5201301757773953</v>
      </c>
      <c r="BC349" s="60" t="str">
        <f t="shared" si="348"/>
        <v>-0.314987099226083+0.361948750105072i</v>
      </c>
      <c r="BD349" s="51">
        <f t="shared" si="349"/>
        <v>-6.3784983790624405</v>
      </c>
      <c r="BE349" s="63">
        <f t="shared" si="350"/>
        <v>131.03152902523635</v>
      </c>
      <c r="BF349" s="60" t="str">
        <f t="shared" si="351"/>
        <v>0.214146858579584+0.117860149080519i</v>
      </c>
      <c r="BG349" s="66">
        <f t="shared" si="352"/>
        <v>-12.236628769748009</v>
      </c>
      <c r="BH349" s="63">
        <f t="shared" si="353"/>
        <v>28.827096427904106</v>
      </c>
      <c r="BI349" s="60" t="e">
        <f t="shared" si="306"/>
        <v>#NUM!</v>
      </c>
      <c r="BJ349" s="66" t="e">
        <f t="shared" si="354"/>
        <v>#NUM!</v>
      </c>
      <c r="BK349" s="63" t="e">
        <f t="shared" si="307"/>
        <v>#NUM!</v>
      </c>
      <c r="BL349" s="51">
        <f t="shared" si="355"/>
        <v>-12.236628769748009</v>
      </c>
      <c r="BM349" s="63">
        <f t="shared" si="356"/>
        <v>28.827096427904106</v>
      </c>
    </row>
    <row r="350" spans="14:65" x14ac:dyDescent="0.3">
      <c r="N350" s="11">
        <v>32</v>
      </c>
      <c r="O350" s="52">
        <f t="shared" si="308"/>
        <v>20892.961308540423</v>
      </c>
      <c r="P350" s="50" t="str">
        <f t="shared" si="309"/>
        <v>23.3035714285714</v>
      </c>
      <c r="Q350" s="18" t="str">
        <f t="shared" si="310"/>
        <v>1+49.7904846654876i</v>
      </c>
      <c r="R350" s="18">
        <f t="shared" si="321"/>
        <v>49.800525732407237</v>
      </c>
      <c r="S350" s="18">
        <f t="shared" si="322"/>
        <v>1.5507148678286145</v>
      </c>
      <c r="T350" s="18" t="str">
        <f t="shared" si="311"/>
        <v>1+0.232355595105609i</v>
      </c>
      <c r="U350" s="18">
        <f t="shared" si="323"/>
        <v>1.0266397238451674</v>
      </c>
      <c r="V350" s="18">
        <f t="shared" si="324"/>
        <v>0.22830447850110225</v>
      </c>
      <c r="W350" s="32" t="str">
        <f t="shared" si="312"/>
        <v>1-0.320892849486716i</v>
      </c>
      <c r="X350" s="18">
        <f t="shared" si="325"/>
        <v>1.0502248429987286</v>
      </c>
      <c r="Y350" s="18">
        <f t="shared" si="326"/>
        <v>-0.31051264877822249</v>
      </c>
      <c r="Z350" s="32" t="str">
        <f t="shared" si="313"/>
        <v>0.998253936671039+0.157493116575184i</v>
      </c>
      <c r="AA350" s="18">
        <f t="shared" si="327"/>
        <v>1.0106013080576293</v>
      </c>
      <c r="AB350" s="18">
        <f t="shared" si="328"/>
        <v>0.15647879669814763</v>
      </c>
      <c r="AC350" s="68" t="str">
        <f t="shared" si="329"/>
        <v>-0.10826936480054-0.48735813629833i</v>
      </c>
      <c r="AD350" s="66">
        <f t="shared" si="330"/>
        <v>-6.0338189433704041</v>
      </c>
      <c r="AE350" s="63">
        <f t="shared" si="331"/>
        <v>-102.5251729872282</v>
      </c>
      <c r="AF350" s="51" t="e">
        <f t="shared" si="332"/>
        <v>#NUM!</v>
      </c>
      <c r="AG350" s="51" t="str">
        <f t="shared" si="314"/>
        <v>1-69.7066785316828i</v>
      </c>
      <c r="AH350" s="51">
        <f t="shared" si="333"/>
        <v>69.713851076521138</v>
      </c>
      <c r="AI350" s="51">
        <f t="shared" si="334"/>
        <v>-1.5564514831069125</v>
      </c>
      <c r="AJ350" s="51" t="str">
        <f t="shared" si="315"/>
        <v>1+0.232355595105609i</v>
      </c>
      <c r="AK350" s="51">
        <f t="shared" si="335"/>
        <v>1.0266397238451674</v>
      </c>
      <c r="AL350" s="51">
        <f t="shared" si="336"/>
        <v>0.22830447850110225</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-0.000170731707317073</v>
      </c>
      <c r="AT350" s="32" t="str">
        <f t="shared" si="318"/>
        <v>0.00498842520565713i</v>
      </c>
      <c r="AU350" s="32">
        <f t="shared" si="342"/>
        <v>4.9884252056571297E-3</v>
      </c>
      <c r="AV350" s="32">
        <f t="shared" si="343"/>
        <v>1.5707963267948966</v>
      </c>
      <c r="AW350" s="32" t="str">
        <f t="shared" si="319"/>
        <v>1+1.06207856317675i</v>
      </c>
      <c r="AX350" s="32">
        <f t="shared" si="344"/>
        <v>1.4587703295445758</v>
      </c>
      <c r="AY350" s="32">
        <f t="shared" si="345"/>
        <v>0.81549392235777651</v>
      </c>
      <c r="AZ350" s="32" t="str">
        <f t="shared" si="320"/>
        <v>1+20.1794927003583i</v>
      </c>
      <c r="BA350" s="32">
        <f t="shared" si="346"/>
        <v>20.204255137069861</v>
      </c>
      <c r="BB350" s="32">
        <f t="shared" si="347"/>
        <v>1.5212815721746888</v>
      </c>
      <c r="BC350" s="60" t="str">
        <f t="shared" si="348"/>
        <v>-0.307472319231532+0.360785331281488i</v>
      </c>
      <c r="BD350" s="51">
        <f t="shared" si="349"/>
        <v>-6.4838671808603232</v>
      </c>
      <c r="BE350" s="63">
        <f t="shared" si="350"/>
        <v>130.43865356696637</v>
      </c>
      <c r="BF350" s="60" t="str">
        <f t="shared" si="351"/>
        <v>0.209121499354068+0.110787137816806i</v>
      </c>
      <c r="BG350" s="66">
        <f t="shared" si="352"/>
        <v>-12.517686124230732</v>
      </c>
      <c r="BH350" s="63">
        <f t="shared" si="353"/>
        <v>27.913480579738298</v>
      </c>
      <c r="BI350" s="60" t="e">
        <f t="shared" si="306"/>
        <v>#NUM!</v>
      </c>
      <c r="BJ350" s="66" t="e">
        <f t="shared" si="354"/>
        <v>#NUM!</v>
      </c>
      <c r="BK350" s="63" t="e">
        <f t="shared" si="307"/>
        <v>#NUM!</v>
      </c>
      <c r="BL350" s="51">
        <f t="shared" si="355"/>
        <v>-12.517686124230732</v>
      </c>
      <c r="BM350" s="63">
        <f t="shared" si="356"/>
        <v>27.913480579738298</v>
      </c>
    </row>
    <row r="351" spans="14:65" x14ac:dyDescent="0.3">
      <c r="N351" s="11">
        <v>33</v>
      </c>
      <c r="O351" s="52">
        <f t="shared" si="308"/>
        <v>21379.620895022348</v>
      </c>
      <c r="P351" s="50" t="str">
        <f t="shared" si="309"/>
        <v>23.3035714285714</v>
      </c>
      <c r="Q351" s="18" t="str">
        <f t="shared" si="310"/>
        <v>1+50.9502540404556i</v>
      </c>
      <c r="R351" s="18">
        <f t="shared" si="321"/>
        <v>50.960066589310522</v>
      </c>
      <c r="S351" s="18">
        <f t="shared" si="322"/>
        <v>1.5511718589234782</v>
      </c>
      <c r="T351" s="18" t="str">
        <f t="shared" si="311"/>
        <v>1+0.237767852188793i</v>
      </c>
      <c r="U351" s="18">
        <f t="shared" si="323"/>
        <v>1.0278781793259704</v>
      </c>
      <c r="V351" s="18">
        <f t="shared" si="324"/>
        <v>0.23343333573755037</v>
      </c>
      <c r="W351" s="32" t="str">
        <f t="shared" si="312"/>
        <v>1-0.328367404152759i</v>
      </c>
      <c r="X351" s="18">
        <f t="shared" si="325"/>
        <v>1.0525327320848608</v>
      </c>
      <c r="Y351" s="18">
        <f t="shared" si="326"/>
        <v>-0.31727457976900797</v>
      </c>
      <c r="Z351" s="32" t="str">
        <f t="shared" si="313"/>
        <v>0.998171647241541+0.161161602523842i</v>
      </c>
      <c r="AA351" s="18">
        <f t="shared" si="327"/>
        <v>1.0110982640104493</v>
      </c>
      <c r="AB351" s="18">
        <f t="shared" si="328"/>
        <v>0.16007537775026431</v>
      </c>
      <c r="AC351" s="68" t="str">
        <f t="shared" si="329"/>
        <v>-0.10882859093651-0.477045199912873i</v>
      </c>
      <c r="AD351" s="66">
        <f t="shared" si="330"/>
        <v>-6.2084721943812013</v>
      </c>
      <c r="AE351" s="63">
        <f t="shared" si="331"/>
        <v>-102.85099379695902</v>
      </c>
      <c r="AF351" s="51" t="e">
        <f t="shared" si="332"/>
        <v>#NUM!</v>
      </c>
      <c r="AG351" s="51" t="str">
        <f t="shared" si="314"/>
        <v>1-71.3303556566381i</v>
      </c>
      <c r="AH351" s="51">
        <f t="shared" si="333"/>
        <v>71.337364950651789</v>
      </c>
      <c r="AI351" s="51">
        <f t="shared" si="334"/>
        <v>-1.5567779683394318</v>
      </c>
      <c r="AJ351" s="51" t="str">
        <f t="shared" si="315"/>
        <v>1+0.237767852188793i</v>
      </c>
      <c r="AK351" s="51">
        <f t="shared" si="335"/>
        <v>1.0278781793259704</v>
      </c>
      <c r="AL351" s="51">
        <f t="shared" si="336"/>
        <v>0.23343333573755037</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-0.000170731707317073</v>
      </c>
      <c r="AT351" s="32" t="str">
        <f t="shared" si="318"/>
        <v>0.00510462055546562i</v>
      </c>
      <c r="AU351" s="32">
        <f t="shared" si="342"/>
        <v>5.1046205554656204E-3</v>
      </c>
      <c r="AV351" s="32">
        <f t="shared" si="343"/>
        <v>1.5707963267948966</v>
      </c>
      <c r="AW351" s="32" t="str">
        <f t="shared" si="319"/>
        <v>1+1.08681755095038i</v>
      </c>
      <c r="AX351" s="32">
        <f t="shared" si="344"/>
        <v>1.4768792736895529</v>
      </c>
      <c r="AY351" s="32">
        <f t="shared" si="345"/>
        <v>0.82697703310431003</v>
      </c>
      <c r="AZ351" s="32" t="str">
        <f t="shared" si="320"/>
        <v>1+20.6495334680572i</v>
      </c>
      <c r="BA351" s="32">
        <f t="shared" si="346"/>
        <v>20.673732910348203</v>
      </c>
      <c r="BB351" s="32">
        <f t="shared" si="347"/>
        <v>1.5224068865667841</v>
      </c>
      <c r="BC351" s="60" t="str">
        <f t="shared" si="348"/>
        <v>-0.299978324580345+0.359468211175136i</v>
      </c>
      <c r="BD351" s="51">
        <f t="shared" si="349"/>
        <v>-6.5915075237172882</v>
      </c>
      <c r="BE351" s="63">
        <f t="shared" si="350"/>
        <v>129.84519555080109</v>
      </c>
      <c r="BF351" s="60" t="str">
        <f t="shared" si="351"/>
        <v>0.20412880303794+0.103982800910302i</v>
      </c>
      <c r="BG351" s="66">
        <f t="shared" si="352"/>
        <v>-12.799979718098466</v>
      </c>
      <c r="BH351" s="63">
        <f t="shared" si="353"/>
        <v>26.994201753842145</v>
      </c>
      <c r="BI351" s="60" t="e">
        <f t="shared" si="306"/>
        <v>#NUM!</v>
      </c>
      <c r="BJ351" s="66" t="e">
        <f t="shared" si="354"/>
        <v>#NUM!</v>
      </c>
      <c r="BK351" s="63" t="e">
        <f t="shared" si="307"/>
        <v>#NUM!</v>
      </c>
      <c r="BL351" s="51">
        <f t="shared" si="355"/>
        <v>-12.799979718098466</v>
      </c>
      <c r="BM351" s="63">
        <f t="shared" si="356"/>
        <v>26.994201753842145</v>
      </c>
    </row>
    <row r="352" spans="14:65" x14ac:dyDescent="0.3">
      <c r="N352" s="11">
        <v>34</v>
      </c>
      <c r="O352" s="52">
        <f t="shared" si="308"/>
        <v>21877.61623949555</v>
      </c>
      <c r="P352" s="50" t="str">
        <f t="shared" si="309"/>
        <v>23.3035714285714</v>
      </c>
      <c r="Q352" s="18" t="str">
        <f t="shared" si="310"/>
        <v>1+52.1370379145225i</v>
      </c>
      <c r="R352" s="18">
        <f t="shared" si="321"/>
        <v>52.146627144047926</v>
      </c>
      <c r="S352" s="18">
        <f t="shared" si="322"/>
        <v>1.5516184555526131</v>
      </c>
      <c r="T352" s="18" t="str">
        <f t="shared" si="311"/>
        <v>1+0.243306176934438i</v>
      </c>
      <c r="U352" s="18">
        <f t="shared" si="323"/>
        <v>1.0291734041134428</v>
      </c>
      <c r="V352" s="18">
        <f t="shared" si="324"/>
        <v>0.23866873973436803</v>
      </c>
      <c r="W352" s="32" t="str">
        <f t="shared" si="312"/>
        <v>1-0.336016063562941i</v>
      </c>
      <c r="X352" s="18">
        <f t="shared" si="325"/>
        <v>1.0549439771724063</v>
      </c>
      <c r="Y352" s="18">
        <f t="shared" si="326"/>
        <v>-0.324163065284306</v>
      </c>
      <c r="Z352" s="32" t="str">
        <f t="shared" si="313"/>
        <v>0.998085479630709+0.164915538487384i</v>
      </c>
      <c r="AA352" s="18">
        <f t="shared" si="327"/>
        <v>1.0116183862921069</v>
      </c>
      <c r="AB352" s="18">
        <f t="shared" si="328"/>
        <v>0.16375234312081438</v>
      </c>
      <c r="AC352" s="68" t="str">
        <f t="shared" si="329"/>
        <v>-0.109374761200656-0.466982582989157i</v>
      </c>
      <c r="AD352" s="66">
        <f t="shared" si="330"/>
        <v>-6.3820500231864461</v>
      </c>
      <c r="AE352" s="63">
        <f t="shared" si="331"/>
        <v>-103.18197109030157</v>
      </c>
      <c r="AF352" s="51" t="e">
        <f t="shared" si="332"/>
        <v>#NUM!</v>
      </c>
      <c r="AG352" s="51" t="str">
        <f t="shared" si="314"/>
        <v>1-72.9918530803317i</v>
      </c>
      <c r="AH352" s="51">
        <f t="shared" si="333"/>
        <v>72.998702838480142</v>
      </c>
      <c r="AI352" s="51">
        <f t="shared" si="334"/>
        <v>-1.5570970247487084</v>
      </c>
      <c r="AJ352" s="51" t="str">
        <f t="shared" si="315"/>
        <v>1+0.243306176934438i</v>
      </c>
      <c r="AK352" s="51">
        <f t="shared" si="335"/>
        <v>1.0291734041134428</v>
      </c>
      <c r="AL352" s="51">
        <f t="shared" si="336"/>
        <v>0.23866873973436803</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-0.000170731707317073</v>
      </c>
      <c r="AT352" s="32" t="str">
        <f t="shared" si="318"/>
        <v>0.00522352244266026i</v>
      </c>
      <c r="AU352" s="32">
        <f t="shared" si="342"/>
        <v>5.2235224426602604E-3</v>
      </c>
      <c r="AV352" s="32">
        <f t="shared" si="343"/>
        <v>1.5707963267948966</v>
      </c>
      <c r="AW352" s="32" t="str">
        <f t="shared" si="319"/>
        <v>1+1.11213278377525i</v>
      </c>
      <c r="AX352" s="32">
        <f t="shared" si="344"/>
        <v>1.4956066758167692</v>
      </c>
      <c r="AY352" s="32">
        <f t="shared" si="345"/>
        <v>0.83843820545278824</v>
      </c>
      <c r="AZ352" s="32" t="str">
        <f t="shared" si="320"/>
        <v>1+21.1305228917299i</v>
      </c>
      <c r="BA352" s="32">
        <f t="shared" si="346"/>
        <v>21.154172110435361</v>
      </c>
      <c r="BB352" s="32">
        <f t="shared" si="347"/>
        <v>1.5235067042036134</v>
      </c>
      <c r="BC352" s="60" t="str">
        <f t="shared" si="348"/>
        <v>-0.292512935766192+0.357998393300212i</v>
      </c>
      <c r="BD352" s="51">
        <f t="shared" si="349"/>
        <v>-6.701412864762732</v>
      </c>
      <c r="BE352" s="63">
        <f t="shared" si="350"/>
        <v>129.25153365578555</v>
      </c>
      <c r="BF352" s="60" t="str">
        <f t="shared" si="351"/>
        <v>0.199172546906831+0.0974424575244085i</v>
      </c>
      <c r="BG352" s="66">
        <f t="shared" si="352"/>
        <v>-13.083462887949185</v>
      </c>
      <c r="BH352" s="63">
        <f t="shared" si="353"/>
        <v>26.069562565484002</v>
      </c>
      <c r="BI352" s="60" t="e">
        <f t="shared" si="306"/>
        <v>#NUM!</v>
      </c>
      <c r="BJ352" s="66" t="e">
        <f t="shared" si="354"/>
        <v>#NUM!</v>
      </c>
      <c r="BK352" s="63" t="e">
        <f t="shared" si="307"/>
        <v>#NUM!</v>
      </c>
      <c r="BL352" s="51">
        <f t="shared" si="355"/>
        <v>-13.083462887949185</v>
      </c>
      <c r="BM352" s="63">
        <f t="shared" si="356"/>
        <v>26.069562565484002</v>
      </c>
    </row>
    <row r="353" spans="14:65" x14ac:dyDescent="0.3">
      <c r="N353" s="11">
        <v>35</v>
      </c>
      <c r="O353" s="52">
        <f t="shared" si="308"/>
        <v>22387.211385683382</v>
      </c>
      <c r="P353" s="50" t="str">
        <f t="shared" si="309"/>
        <v>23.3035714285714</v>
      </c>
      <c r="Q353" s="18" t="str">
        <f t="shared" si="310"/>
        <v>1+53.3514655362066i</v>
      </c>
      <c r="R353" s="18">
        <f t="shared" si="321"/>
        <v>53.360836526998341</v>
      </c>
      <c r="S353" s="18">
        <f t="shared" si="322"/>
        <v>1.5520548937944703</v>
      </c>
      <c r="T353" s="18" t="str">
        <f t="shared" si="311"/>
        <v>1+0.248973505835631i</v>
      </c>
      <c r="U353" s="18">
        <f t="shared" si="323"/>
        <v>1.0305279261660427</v>
      </c>
      <c r="V353" s="18">
        <f t="shared" si="324"/>
        <v>0.24401231787341615</v>
      </c>
      <c r="W353" s="32" t="str">
        <f t="shared" si="312"/>
        <v>1-0.34384288313772i</v>
      </c>
      <c r="X353" s="18">
        <f t="shared" si="325"/>
        <v>1.0574629678076013</v>
      </c>
      <c r="Y353" s="18">
        <f t="shared" si="326"/>
        <v>-0.33117914187181952</v>
      </c>
      <c r="Z353" s="32" t="str">
        <f t="shared" si="313"/>
        <v>0.997995251065491+0.168756914852346i</v>
      </c>
      <c r="AA353" s="18">
        <f t="shared" si="327"/>
        <v>1.0121627425763875</v>
      </c>
      <c r="AB353" s="18">
        <f t="shared" si="328"/>
        <v>0.16751133010725819</v>
      </c>
      <c r="AC353" s="68" t="str">
        <f t="shared" si="329"/>
        <v>-0.109908992847745-0.457164872938101i</v>
      </c>
      <c r="AD353" s="66">
        <f t="shared" si="330"/>
        <v>-6.5545111817868769</v>
      </c>
      <c r="AE353" s="63">
        <f t="shared" si="331"/>
        <v>-103.51817835148515</v>
      </c>
      <c r="AF353" s="51" t="e">
        <f t="shared" si="332"/>
        <v>#NUM!</v>
      </c>
      <c r="AG353" s="51" t="str">
        <f t="shared" si="314"/>
        <v>1-74.6920517506894i</v>
      </c>
      <c r="AH353" s="51">
        <f t="shared" si="333"/>
        <v>74.698745603441452</v>
      </c>
      <c r="AI353" s="51">
        <f t="shared" si="334"/>
        <v>-1.5574088212426926</v>
      </c>
      <c r="AJ353" s="51" t="str">
        <f t="shared" si="315"/>
        <v>1+0.248973505835631i</v>
      </c>
      <c r="AK353" s="51">
        <f t="shared" si="335"/>
        <v>1.0305279261660427</v>
      </c>
      <c r="AL353" s="51">
        <f t="shared" si="336"/>
        <v>0.24401231787341615</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-0.000170731707317073</v>
      </c>
      <c r="AT353" s="32" t="str">
        <f t="shared" si="318"/>
        <v>0.00534519391059548i</v>
      </c>
      <c r="AU353" s="32">
        <f t="shared" si="342"/>
        <v>5.3451939105954799E-3</v>
      </c>
      <c r="AV353" s="32">
        <f t="shared" si="343"/>
        <v>1.5707963267948966</v>
      </c>
      <c r="AW353" s="32" t="str">
        <f t="shared" si="319"/>
        <v>1+1.1380376841229i</v>
      </c>
      <c r="AX353" s="32">
        <f t="shared" si="344"/>
        <v>1.5149685707907652</v>
      </c>
      <c r="AY353" s="32">
        <f t="shared" si="345"/>
        <v>0.84987147308433209</v>
      </c>
      <c r="AZ353" s="32" t="str">
        <f t="shared" si="320"/>
        <v>1+21.6227159983351i</v>
      </c>
      <c r="BA353" s="32">
        <f t="shared" si="346"/>
        <v>21.645827476552075</v>
      </c>
      <c r="BB353" s="32">
        <f t="shared" si="347"/>
        <v>1.52458159757429</v>
      </c>
      <c r="BC353" s="60" t="str">
        <f t="shared" si="348"/>
        <v>-0.285083853341911+0.356377330742687i</v>
      </c>
      <c r="BD353" s="51">
        <f t="shared" si="349"/>
        <v>-6.8135742431990378</v>
      </c>
      <c r="BE353" s="63">
        <f t="shared" si="350"/>
        <v>128.65804252802101</v>
      </c>
      <c r="BF353" s="60" t="str">
        <f t="shared" si="351"/>
        <v>0.194256476324964+0.0911612500940625i</v>
      </c>
      <c r="BG353" s="66">
        <f t="shared" si="352"/>
        <v>-13.368085424985907</v>
      </c>
      <c r="BH353" s="63">
        <f t="shared" si="353"/>
        <v>25.139864176535834</v>
      </c>
      <c r="BI353" s="60" t="e">
        <f t="shared" si="306"/>
        <v>#NUM!</v>
      </c>
      <c r="BJ353" s="66" t="e">
        <f t="shared" si="354"/>
        <v>#NUM!</v>
      </c>
      <c r="BK353" s="63" t="e">
        <f t="shared" si="307"/>
        <v>#NUM!</v>
      </c>
      <c r="BL353" s="51">
        <f t="shared" si="355"/>
        <v>-13.368085424985907</v>
      </c>
      <c r="BM353" s="63">
        <f t="shared" si="356"/>
        <v>25.139864176535834</v>
      </c>
    </row>
    <row r="354" spans="14:65" x14ac:dyDescent="0.3">
      <c r="N354" s="11">
        <v>36</v>
      </c>
      <c r="O354" s="52">
        <f t="shared" si="308"/>
        <v>22908.676527677751</v>
      </c>
      <c r="P354" s="50" t="str">
        <f t="shared" si="309"/>
        <v>23.3035714285714</v>
      </c>
      <c r="Q354" s="18" t="str">
        <f t="shared" si="310"/>
        <v>1+54.5941808111087i</v>
      </c>
      <c r="R354" s="18">
        <f t="shared" si="321"/>
        <v>54.603338528299062</v>
      </c>
      <c r="S354" s="18">
        <f t="shared" si="322"/>
        <v>1.552481404388945</v>
      </c>
      <c r="T354" s="18" t="str">
        <f t="shared" si="311"/>
        <v>1+0.254772843785174i</v>
      </c>
      <c r="U354" s="18">
        <f t="shared" si="323"/>
        <v>1.0319443792813567</v>
      </c>
      <c r="V354" s="18">
        <f t="shared" si="324"/>
        <v>0.2494656822268439</v>
      </c>
      <c r="W354" s="32" t="str">
        <f t="shared" si="312"/>
        <v>1-0.351852012760441i</v>
      </c>
      <c r="X354" s="18">
        <f t="shared" si="325"/>
        <v>1.0600942594333644</v>
      </c>
      <c r="Y354" s="18">
        <f t="shared" si="326"/>
        <v>-0.33832376569187245</v>
      </c>
      <c r="Z354" s="32" t="str">
        <f t="shared" si="313"/>
        <v>0.997900770159001+0.172687768367326i</v>
      </c>
      <c r="AA354" s="18">
        <f t="shared" si="327"/>
        <v>1.0127324485902556</v>
      </c>
      <c r="AB354" s="18">
        <f t="shared" si="328"/>
        <v>0.17135399820956856</v>
      </c>
      <c r="AC354" s="68" t="str">
        <f t="shared" si="329"/>
        <v>-0.110432374368305-0.447586775300408i</v>
      </c>
      <c r="AD354" s="66">
        <f t="shared" si="330"/>
        <v>-6.7258132974186369</v>
      </c>
      <c r="AE354" s="63">
        <f t="shared" si="331"/>
        <v>-103.85968630229726</v>
      </c>
      <c r="AF354" s="51" t="e">
        <f t="shared" si="332"/>
        <v>#NUM!</v>
      </c>
      <c r="AG354" s="51" t="str">
        <f t="shared" si="314"/>
        <v>1-76.4318531355524i</v>
      </c>
      <c r="AH354" s="51">
        <f t="shared" si="333"/>
        <v>76.438394630804822</v>
      </c>
      <c r="AI354" s="51">
        <f t="shared" si="334"/>
        <v>-1.5577135228973782</v>
      </c>
      <c r="AJ354" s="51" t="str">
        <f t="shared" si="315"/>
        <v>1+0.254772843785174i</v>
      </c>
      <c r="AK354" s="51">
        <f t="shared" si="335"/>
        <v>1.0319443792813567</v>
      </c>
      <c r="AL354" s="51">
        <f t="shared" si="336"/>
        <v>0.2494656822268439</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-0.000170731707317073</v>
      </c>
      <c r="AT354" s="32" t="str">
        <f t="shared" si="318"/>
        <v>0.00546969947109412i</v>
      </c>
      <c r="AU354" s="32">
        <f t="shared" si="342"/>
        <v>5.4696994710941201E-3</v>
      </c>
      <c r="AV354" s="32">
        <f t="shared" si="343"/>
        <v>1.5707963267948966</v>
      </c>
      <c r="AW354" s="32" t="str">
        <f t="shared" si="319"/>
        <v>1+1.16454598711439i</v>
      </c>
      <c r="AX354" s="32">
        <f t="shared" si="344"/>
        <v>1.5349812233718785</v>
      </c>
      <c r="AY354" s="32">
        <f t="shared" si="345"/>
        <v>0.86127094259769676</v>
      </c>
      <c r="AZ354" s="32" t="str">
        <f t="shared" si="320"/>
        <v>1+22.1263737551734i</v>
      </c>
      <c r="BA354" s="32">
        <f t="shared" si="346"/>
        <v>22.148959694613794</v>
      </c>
      <c r="BB354" s="32">
        <f t="shared" si="347"/>
        <v>1.5256321266604393</v>
      </c>
      <c r="BC354" s="60" t="str">
        <f t="shared" si="348"/>
        <v>-0.277698626625196+0.35460691414367i</v>
      </c>
      <c r="BD354" s="51">
        <f t="shared" si="349"/>
        <v>-6.9279803237639648</v>
      </c>
      <c r="BE354" s="63">
        <f t="shared" si="350"/>
        <v>128.06509191910911</v>
      </c>
      <c r="BF354" s="60" t="str">
        <f t="shared" si="351"/>
        <v>0.189384283897832+0.0851341493002204i</v>
      </c>
      <c r="BG354" s="66">
        <f t="shared" si="352"/>
        <v>-13.65379362118259</v>
      </c>
      <c r="BH354" s="63">
        <f t="shared" si="353"/>
        <v>24.20540561681182</v>
      </c>
      <c r="BI354" s="60" t="e">
        <f t="shared" si="306"/>
        <v>#NUM!</v>
      </c>
      <c r="BJ354" s="66" t="e">
        <f t="shared" si="354"/>
        <v>#NUM!</v>
      </c>
      <c r="BK354" s="63" t="e">
        <f t="shared" si="307"/>
        <v>#NUM!</v>
      </c>
      <c r="BL354" s="51">
        <f t="shared" si="355"/>
        <v>-13.65379362118259</v>
      </c>
      <c r="BM354" s="63">
        <f t="shared" si="356"/>
        <v>24.20540561681182</v>
      </c>
    </row>
    <row r="355" spans="14:65" x14ac:dyDescent="0.3">
      <c r="N355" s="11">
        <v>37</v>
      </c>
      <c r="O355" s="52">
        <f t="shared" si="308"/>
        <v>23442.288153199243</v>
      </c>
      <c r="P355" s="50" t="str">
        <f t="shared" si="309"/>
        <v>23.3035714285714</v>
      </c>
      <c r="Q355" s="18" t="str">
        <f t="shared" si="310"/>
        <v>1+55.865842643316i</v>
      </c>
      <c r="R355" s="18">
        <f t="shared" si="321"/>
        <v>55.874791939189763</v>
      </c>
      <c r="S355" s="18">
        <f t="shared" si="322"/>
        <v>1.5528982128565469</v>
      </c>
      <c r="T355" s="18" t="str">
        <f t="shared" si="311"/>
        <v>1+0.260707265668808i</v>
      </c>
      <c r="U355" s="18">
        <f t="shared" si="323"/>
        <v>1.033425506929506</v>
      </c>
      <c r="V355" s="18">
        <f t="shared" si="324"/>
        <v>0.25503042625951433</v>
      </c>
      <c r="W355" s="32" t="str">
        <f t="shared" si="312"/>
        <v>1-0.360047698977638i</v>
      </c>
      <c r="X355" s="18">
        <f t="shared" si="325"/>
        <v>1.0628425779667898</v>
      </c>
      <c r="Y355" s="18">
        <f t="shared" si="326"/>
        <v>-0.34559780637183601</v>
      </c>
      <c r="Z355" s="32" t="str">
        <f t="shared" si="313"/>
        <v>0.997801836504569+0.176710183222887i</v>
      </c>
      <c r="AA355" s="18">
        <f t="shared" si="327"/>
        <v>1.0133286701690409</v>
      </c>
      <c r="AB355" s="18">
        <f t="shared" si="328"/>
        <v>0.17528202861051081</v>
      </c>
      <c r="AC355" s="68" t="str">
        <f t="shared" si="329"/>
        <v>-0.110945967459524-0.438243110644807i</v>
      </c>
      <c r="AD355" s="66">
        <f t="shared" si="330"/>
        <v>-6.8959128789704529</v>
      </c>
      <c r="AE355" s="63">
        <f t="shared" si="331"/>
        <v>-104.20656271595506</v>
      </c>
      <c r="AF355" s="51" t="e">
        <f t="shared" si="332"/>
        <v>#NUM!</v>
      </c>
      <c r="AG355" s="51" t="str">
        <f t="shared" si="314"/>
        <v>1-78.2121797006426i</v>
      </c>
      <c r="AH355" s="51">
        <f t="shared" si="333"/>
        <v>78.218572305595103</v>
      </c>
      <c r="AI355" s="51">
        <f t="shared" si="334"/>
        <v>-1.5580112910431698</v>
      </c>
      <c r="AJ355" s="51" t="str">
        <f t="shared" si="315"/>
        <v>1+0.260707265668808i</v>
      </c>
      <c r="AK355" s="51">
        <f t="shared" si="335"/>
        <v>1.033425506929506</v>
      </c>
      <c r="AL355" s="51">
        <f t="shared" si="336"/>
        <v>0.25503042625951433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-0.000170731707317073</v>
      </c>
      <c r="AT355" s="32" t="str">
        <f t="shared" si="318"/>
        <v>0.00559710513865236i</v>
      </c>
      <c r="AU355" s="32">
        <f t="shared" si="342"/>
        <v>5.5971051386523602E-3</v>
      </c>
      <c r="AV355" s="32">
        <f t="shared" si="343"/>
        <v>1.5707963267948966</v>
      </c>
      <c r="AW355" s="32" t="str">
        <f t="shared" si="319"/>
        <v>1+1.19167174780283i</v>
      </c>
      <c r="AX355" s="32">
        <f t="shared" si="344"/>
        <v>1.5556611310023309</v>
      </c>
      <c r="AY355" s="32">
        <f t="shared" si="345"/>
        <v>0.87263080833804996</v>
      </c>
      <c r="AZ355" s="32" t="str">
        <f t="shared" si="320"/>
        <v>1+22.6417632082538i</v>
      </c>
      <c r="BA355" s="32">
        <f t="shared" si="346"/>
        <v>22.663835535465644</v>
      </c>
      <c r="BB355" s="32">
        <f t="shared" si="347"/>
        <v>1.5266588391862039</v>
      </c>
      <c r="BC355" s="60" t="str">
        <f t="shared" si="348"/>
        <v>-0.270364623733249+0.35268945708908i</v>
      </c>
      <c r="BD355" s="51">
        <f t="shared" si="349"/>
        <v>-7.0446174494772453</v>
      </c>
      <c r="BE355" s="63">
        <f t="shared" si="350"/>
        <v>127.47304585085122</v>
      </c>
      <c r="BF355" s="60" t="str">
        <f t="shared" si="351"/>
        <v>0.184559589513262+0.0793559606836496i</v>
      </c>
      <c r="BG355" s="66">
        <f t="shared" si="352"/>
        <v>-13.9405303284477</v>
      </c>
      <c r="BH355" s="63">
        <f t="shared" si="353"/>
        <v>23.26648313489617</v>
      </c>
      <c r="BI355" s="60" t="e">
        <f t="shared" si="306"/>
        <v>#NUM!</v>
      </c>
      <c r="BJ355" s="66" t="e">
        <f t="shared" si="354"/>
        <v>#NUM!</v>
      </c>
      <c r="BK355" s="63" t="e">
        <f t="shared" si="307"/>
        <v>#NUM!</v>
      </c>
      <c r="BL355" s="51">
        <f t="shared" si="355"/>
        <v>-13.9405303284477</v>
      </c>
      <c r="BM355" s="63">
        <f t="shared" si="356"/>
        <v>23.26648313489617</v>
      </c>
    </row>
    <row r="356" spans="14:65" x14ac:dyDescent="0.3">
      <c r="N356" s="11">
        <v>38</v>
      </c>
      <c r="O356" s="52">
        <f t="shared" si="308"/>
        <v>23988.329190194923</v>
      </c>
      <c r="P356" s="50" t="str">
        <f t="shared" si="309"/>
        <v>23.3035714285714</v>
      </c>
      <c r="Q356" s="18" t="str">
        <f t="shared" si="310"/>
        <v>1+57.1671252847644i</v>
      </c>
      <c r="R356" s="18">
        <f t="shared" si="321"/>
        <v>57.175870901315967</v>
      </c>
      <c r="S356" s="18">
        <f t="shared" si="322"/>
        <v>1.5533055396150157</v>
      </c>
      <c r="T356" s="18" t="str">
        <f t="shared" si="311"/>
        <v>1+0.266779917995568i</v>
      </c>
      <c r="U356" s="18">
        <f t="shared" si="323"/>
        <v>1.0349741661731089</v>
      </c>
      <c r="V356" s="18">
        <f t="shared" si="324"/>
        <v>0.26070812133434046</v>
      </c>
      <c r="W356" s="32" t="str">
        <f t="shared" si="312"/>
        <v>1-0.368434287250627i</v>
      </c>
      <c r="X356" s="18">
        <f t="shared" si="325"/>
        <v>1.0657128243677456</v>
      </c>
      <c r="Y356" s="18">
        <f t="shared" si="326"/>
        <v>-0.35300204069755609</v>
      </c>
      <c r="Z356" s="32" t="str">
        <f t="shared" si="313"/>
        <v>0.997698240250651+0.180826292156628i</v>
      </c>
      <c r="AA356" s="18">
        <f t="shared" si="327"/>
        <v>1.0139526253895494</v>
      </c>
      <c r="AB356" s="18">
        <f t="shared" si="328"/>
        <v>0.17929712358147218</v>
      </c>
      <c r="AC356" s="68" t="str">
        <f t="shared" si="329"/>
        <v>-0.111450808913063-0.429128811484785i</v>
      </c>
      <c r="AD356" s="66">
        <f t="shared" si="330"/>
        <v>-7.06476532742251</v>
      </c>
      <c r="AE356" s="63">
        <f t="shared" si="331"/>
        <v>-104.55887222851823</v>
      </c>
      <c r="AF356" s="51" t="e">
        <f t="shared" si="332"/>
        <v>#NUM!</v>
      </c>
      <c r="AG356" s="51" t="str">
        <f t="shared" si="314"/>
        <v>1-80.0339753986704i</v>
      </c>
      <c r="AH356" s="51">
        <f t="shared" si="333"/>
        <v>80.040222501658391</v>
      </c>
      <c r="AI356" s="51">
        <f t="shared" si="334"/>
        <v>-1.5583022833493438</v>
      </c>
      <c r="AJ356" s="51" t="str">
        <f t="shared" si="315"/>
        <v>1+0.266779917995568i</v>
      </c>
      <c r="AK356" s="51">
        <f t="shared" si="335"/>
        <v>1.0349741661731089</v>
      </c>
      <c r="AL356" s="51">
        <f t="shared" si="336"/>
        <v>0.26070812133434046</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-0.000170731707317073</v>
      </c>
      <c r="AT356" s="32" t="str">
        <f t="shared" si="318"/>
        <v>0.00572747846544156i</v>
      </c>
      <c r="AU356" s="32">
        <f t="shared" si="342"/>
        <v>5.7274784654415597E-3</v>
      </c>
      <c r="AV356" s="32">
        <f t="shared" si="343"/>
        <v>1.5707963267948966</v>
      </c>
      <c r="AW356" s="32" t="str">
        <f t="shared" si="319"/>
        <v>1+1.21942934862559i</v>
      </c>
      <c r="AX356" s="32">
        <f t="shared" si="344"/>
        <v>1.5770250271601369</v>
      </c>
      <c r="AY356" s="32">
        <f t="shared" si="345"/>
        <v>0.88394536667566603</v>
      </c>
      <c r="AZ356" s="32" t="str">
        <f t="shared" si="320"/>
        <v>1+23.1691576238862i</v>
      </c>
      <c r="BA356" s="32">
        <f t="shared" si="346"/>
        <v>23.190727996345522</v>
      </c>
      <c r="BB356" s="32">
        <f t="shared" si="347"/>
        <v>1.5276622708648473</v>
      </c>
      <c r="BC356" s="60" t="str">
        <f t="shared" si="348"/>
        <v>-0.263089003192115+0.350627679073013i</v>
      </c>
      <c r="BD356" s="51">
        <f t="shared" si="349"/>
        <v>-7.1634697032281363</v>
      </c>
      <c r="BE356" s="63">
        <f t="shared" si="350"/>
        <v>126.88226181126744</v>
      </c>
      <c r="BF356" s="60" t="str">
        <f t="shared" si="351"/>
        <v>0.179785921416163+0.073821332794552i</v>
      </c>
      <c r="BG356" s="66">
        <f t="shared" si="352"/>
        <v>-14.228235030650659</v>
      </c>
      <c r="BH356" s="63">
        <f t="shared" si="353"/>
        <v>22.323389582749275</v>
      </c>
      <c r="BI356" s="60" t="e">
        <f t="shared" si="306"/>
        <v>#NUM!</v>
      </c>
      <c r="BJ356" s="66" t="e">
        <f t="shared" si="354"/>
        <v>#NUM!</v>
      </c>
      <c r="BK356" s="63" t="e">
        <f t="shared" si="307"/>
        <v>#NUM!</v>
      </c>
      <c r="BL356" s="51">
        <f t="shared" si="355"/>
        <v>-14.228235030650659</v>
      </c>
      <c r="BM356" s="63">
        <f t="shared" si="356"/>
        <v>22.323389582749275</v>
      </c>
    </row>
    <row r="357" spans="14:65" x14ac:dyDescent="0.3">
      <c r="N357" s="11">
        <v>39</v>
      </c>
      <c r="O357" s="52">
        <f t="shared" si="308"/>
        <v>24547.089156850321</v>
      </c>
      <c r="P357" s="50" t="str">
        <f t="shared" si="309"/>
        <v>23.3035714285714</v>
      </c>
      <c r="Q357" s="18" t="str">
        <f t="shared" si="310"/>
        <v>1+58.4987186927352i</v>
      </c>
      <c r="R357" s="18">
        <f t="shared" si="321"/>
        <v>58.507265264168403</v>
      </c>
      <c r="S357" s="18">
        <f t="shared" si="322"/>
        <v>1.5537036000934272</v>
      </c>
      <c r="T357" s="18" t="str">
        <f t="shared" si="311"/>
        <v>1+0.272994020566098i</v>
      </c>
      <c r="U357" s="18">
        <f t="shared" si="323"/>
        <v>1.0365933316710287</v>
      </c>
      <c r="V357" s="18">
        <f t="shared" si="324"/>
        <v>0.26650031301590771</v>
      </c>
      <c r="W357" s="32" t="str">
        <f t="shared" si="312"/>
        <v>1-0.37701622425952i</v>
      </c>
      <c r="X357" s="18">
        <f t="shared" si="325"/>
        <v>1.068710079186542</v>
      </c>
      <c r="Y357" s="18">
        <f t="shared" si="326"/>
        <v>-0.36053714615706123</v>
      </c>
      <c r="Z357" s="32" t="str">
        <f t="shared" si="313"/>
        <v>0.997589761655703+0.18503827758399i</v>
      </c>
      <c r="AA357" s="18">
        <f t="shared" si="327"/>
        <v>1.0146055867831265</v>
      </c>
      <c r="AB357" s="18">
        <f t="shared" si="328"/>
        <v>0.183401005808943</v>
      </c>
      <c r="AC357" s="68" t="str">
        <f t="shared" si="329"/>
        <v>-0.111947912421492-0.420238919212247i</v>
      </c>
      <c r="AD357" s="66">
        <f t="shared" si="330"/>
        <v>-7.2323249506191658</v>
      </c>
      <c r="AE357" s="63">
        <f t="shared" si="331"/>
        <v>-104.91667614870602</v>
      </c>
      <c r="AF357" s="51" t="e">
        <f t="shared" si="332"/>
        <v>#NUM!</v>
      </c>
      <c r="AG357" s="51" t="str">
        <f t="shared" si="314"/>
        <v>1-81.8982061698295i</v>
      </c>
      <c r="AH357" s="51">
        <f t="shared" si="333"/>
        <v>81.9043110821152</v>
      </c>
      <c r="AI357" s="51">
        <f t="shared" si="334"/>
        <v>-1.558586653906638</v>
      </c>
      <c r="AJ357" s="51" t="str">
        <f t="shared" si="315"/>
        <v>1+0.272994020566098i</v>
      </c>
      <c r="AK357" s="51">
        <f t="shared" si="335"/>
        <v>1.0365933316710287</v>
      </c>
      <c r="AL357" s="51">
        <f t="shared" si="336"/>
        <v>0.26650031301590771</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-0.000170731707317073</v>
      </c>
      <c r="AT357" s="32" t="str">
        <f t="shared" si="318"/>
        <v>0.00586088857712527i</v>
      </c>
      <c r="AU357" s="32">
        <f t="shared" si="342"/>
        <v>5.8608885771252702E-3</v>
      </c>
      <c r="AV357" s="32">
        <f t="shared" si="343"/>
        <v>1.5707963267948966</v>
      </c>
      <c r="AW357" s="32" t="str">
        <f t="shared" si="319"/>
        <v>1+1.24783350703005i</v>
      </c>
      <c r="AX357" s="32">
        <f t="shared" si="344"/>
        <v>1.5990898852994206</v>
      </c>
      <c r="AY357" s="32">
        <f t="shared" si="345"/>
        <v>0.89520902965226901</v>
      </c>
      <c r="AZ357" s="32" t="str">
        <f t="shared" si="320"/>
        <v>1+23.7088366335709i</v>
      </c>
      <c r="BA357" s="32">
        <f t="shared" si="346"/>
        <v>23.729916445646275</v>
      </c>
      <c r="BB357" s="32">
        <f t="shared" si="347"/>
        <v>1.5286429456418824</v>
      </c>
      <c r="BC357" s="60" t="str">
        <f t="shared" si="348"/>
        <v>-0.255878687343138+0.348424686227482i</v>
      </c>
      <c r="BD357" s="51">
        <f t="shared" si="349"/>
        <v>-7.2845189776931321</v>
      </c>
      <c r="BE357" s="63">
        <f t="shared" si="350"/>
        <v>126.29308998664919</v>
      </c>
      <c r="BF357" s="60" t="str">
        <f t="shared" si="351"/>
        <v>0.175066698448319+0.0685247667592488i</v>
      </c>
      <c r="BG357" s="66">
        <f t="shared" si="352"/>
        <v>-14.516843928312309</v>
      </c>
      <c r="BH357" s="63">
        <f t="shared" si="353"/>
        <v>21.376413837943211</v>
      </c>
      <c r="BI357" s="60" t="e">
        <f t="shared" si="306"/>
        <v>#NUM!</v>
      </c>
      <c r="BJ357" s="66" t="e">
        <f t="shared" si="354"/>
        <v>#NUM!</v>
      </c>
      <c r="BK357" s="63" t="e">
        <f t="shared" si="307"/>
        <v>#NUM!</v>
      </c>
      <c r="BL357" s="51">
        <f t="shared" si="355"/>
        <v>-14.516843928312309</v>
      </c>
      <c r="BM357" s="63">
        <f t="shared" si="356"/>
        <v>21.376413837943211</v>
      </c>
    </row>
    <row r="358" spans="14:65" x14ac:dyDescent="0.3">
      <c r="N358" s="11">
        <v>40</v>
      </c>
      <c r="O358" s="52">
        <f t="shared" si="308"/>
        <v>25118.86431509586</v>
      </c>
      <c r="P358" s="50" t="str">
        <f t="shared" si="309"/>
        <v>23.3035714285714</v>
      </c>
      <c r="Q358" s="18" t="str">
        <f t="shared" si="310"/>
        <v>1+59.8613288956794i</v>
      </c>
      <c r="R358" s="18">
        <f t="shared" si="321"/>
        <v>59.869680950851084</v>
      </c>
      <c r="S358" s="18">
        <f t="shared" si="322"/>
        <v>1.5540926048438379</v>
      </c>
      <c r="T358" s="18" t="str">
        <f t="shared" si="311"/>
        <v>1+0.279352868179837i</v>
      </c>
      <c r="U358" s="18">
        <f t="shared" si="323"/>
        <v>1.0382860997626335</v>
      </c>
      <c r="V358" s="18">
        <f t="shared" si="324"/>
        <v>0.27240851716841252</v>
      </c>
      <c r="W358" s="32" t="str">
        <f t="shared" si="312"/>
        <v>1-0.385798060260917i</v>
      </c>
      <c r="X358" s="18">
        <f t="shared" si="325"/>
        <v>1.0718396070779836</v>
      </c>
      <c r="Y358" s="18">
        <f t="shared" si="326"/>
        <v>-0.3682036943544012</v>
      </c>
      <c r="Z358" s="32" t="str">
        <f t="shared" si="313"/>
        <v>0.997476170622079+0.189348372755398i</v>
      </c>
      <c r="AA358" s="18">
        <f t="shared" si="327"/>
        <v>1.0152888836306659</v>
      </c>
      <c r="AB358" s="18">
        <f t="shared" si="328"/>
        <v>0.18759541763657253</v>
      </c>
      <c r="AC358" s="68" t="str">
        <f t="shared" si="329"/>
        <v>-0.112438270304754-0.411568581046461i</v>
      </c>
      <c r="AD358" s="66">
        <f t="shared" si="330"/>
        <v>-7.3985449826940632</v>
      </c>
      <c r="AE358" s="63">
        <f t="shared" si="331"/>
        <v>-105.28003226707899</v>
      </c>
      <c r="AF358" s="51" t="e">
        <f t="shared" si="332"/>
        <v>#NUM!</v>
      </c>
      <c r="AG358" s="51" t="str">
        <f t="shared" si="314"/>
        <v>1-83.8058604539513i</v>
      </c>
      <c r="AH358" s="51">
        <f t="shared" si="333"/>
        <v>83.811826411474641</v>
      </c>
      <c r="AI358" s="51">
        <f t="shared" si="334"/>
        <v>-1.5588645533080112</v>
      </c>
      <c r="AJ358" s="51" t="str">
        <f t="shared" si="315"/>
        <v>1+0.279352868179837i</v>
      </c>
      <c r="AK358" s="51">
        <f t="shared" si="335"/>
        <v>1.0382860997626335</v>
      </c>
      <c r="AL358" s="51">
        <f t="shared" si="336"/>
        <v>0.27240851716841252</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-0.000170731707317073</v>
      </c>
      <c r="AT358" s="32" t="str">
        <f t="shared" si="318"/>
        <v>0.00599740620951062i</v>
      </c>
      <c r="AU358" s="32">
        <f t="shared" si="342"/>
        <v>5.9974062095106201E-3</v>
      </c>
      <c r="AV358" s="32">
        <f t="shared" si="343"/>
        <v>1.5707963267948966</v>
      </c>
      <c r="AW358" s="32" t="str">
        <f t="shared" si="319"/>
        <v>1+1.27689928327697i</v>
      </c>
      <c r="AX358" s="32">
        <f t="shared" si="344"/>
        <v>1.6218729233923477</v>
      </c>
      <c r="AY358" s="32">
        <f t="shared" si="345"/>
        <v>0.90641633791999576</v>
      </c>
      <c r="AZ358" s="32" t="str">
        <f t="shared" si="320"/>
        <v>1+24.2610863822625i</v>
      </c>
      <c r="BA358" s="32">
        <f t="shared" si="346"/>
        <v>24.281686771054499</v>
      </c>
      <c r="BB358" s="32">
        <f t="shared" si="347"/>
        <v>1.5296013759346585</v>
      </c>
      <c r="BC358" s="60" t="str">
        <f t="shared" si="348"/>
        <v>-0.248740337742948+0.346083950033373i</v>
      </c>
      <c r="BD358" s="51">
        <f t="shared" si="349"/>
        <v>-7.4077450530064901</v>
      </c>
      <c r="BE358" s="63">
        <f t="shared" si="350"/>
        <v>125.70587253393992</v>
      </c>
      <c r="BF358" s="60" t="str">
        <f t="shared" si="351"/>
        <v>0.170405213569027+0.0634606271318932i</v>
      </c>
      <c r="BG358" s="66">
        <f t="shared" si="352"/>
        <v>-14.806290035700552</v>
      </c>
      <c r="BH358" s="63">
        <f t="shared" si="353"/>
        <v>20.425840266860941</v>
      </c>
      <c r="BI358" s="60" t="e">
        <f t="shared" si="306"/>
        <v>#NUM!</v>
      </c>
      <c r="BJ358" s="66" t="e">
        <f t="shared" si="354"/>
        <v>#NUM!</v>
      </c>
      <c r="BK358" s="63" t="e">
        <f t="shared" si="307"/>
        <v>#NUM!</v>
      </c>
      <c r="BL358" s="51">
        <f t="shared" si="355"/>
        <v>-14.806290035700552</v>
      </c>
      <c r="BM358" s="63">
        <f t="shared" si="356"/>
        <v>20.425840266860941</v>
      </c>
    </row>
    <row r="359" spans="14:65" x14ac:dyDescent="0.3">
      <c r="N359" s="11">
        <v>41</v>
      </c>
      <c r="O359" s="52">
        <f t="shared" si="308"/>
        <v>25703.95782768865</v>
      </c>
      <c r="P359" s="50" t="str">
        <f t="shared" si="309"/>
        <v>23.3035714285714</v>
      </c>
      <c r="Q359" s="18" t="str">
        <f t="shared" si="310"/>
        <v>1+61.2556783675619i</v>
      </c>
      <c r="R359" s="18">
        <f t="shared" si="321"/>
        <v>61.263840332370535</v>
      </c>
      <c r="S359" s="18">
        <f t="shared" si="322"/>
        <v>1.5544727596505172</v>
      </c>
      <c r="T359" s="18" t="str">
        <f t="shared" si="311"/>
        <v>1+0.285859832381956i</v>
      </c>
      <c r="U359" s="18">
        <f t="shared" si="323"/>
        <v>1.0400556926287361</v>
      </c>
      <c r="V359" s="18">
        <f t="shared" si="324"/>
        <v>0.27843421584459455</v>
      </c>
      <c r="W359" s="32" t="str">
        <f t="shared" si="312"/>
        <v>1-0.394784451500504i</v>
      </c>
      <c r="X359" s="18">
        <f t="shared" si="325"/>
        <v>1.075106861268476</v>
      </c>
      <c r="Y359" s="18">
        <f t="shared" si="326"/>
        <v>-0.3760021443140194</v>
      </c>
      <c r="Z359" s="32" t="str">
        <f t="shared" si="313"/>
        <v>0.99735722620797+0.193758862940363i</v>
      </c>
      <c r="AA359" s="18">
        <f t="shared" si="327"/>
        <v>1.016003904341513</v>
      </c>
      <c r="AB359" s="18">
        <f t="shared" si="328"/>
        <v>0.19188212021753726</v>
      </c>
      <c r="AC359" s="68" t="str">
        <f t="shared" si="329"/>
        <v>-0.112922855157757-0.403113046996568i</v>
      </c>
      <c r="AD359" s="66">
        <f t="shared" si="330"/>
        <v>-7.5633776084709208</v>
      </c>
      <c r="AE359" s="63">
        <f t="shared" si="331"/>
        <v>-105.64899466564782</v>
      </c>
      <c r="AF359" s="51" t="e">
        <f t="shared" si="332"/>
        <v>#NUM!</v>
      </c>
      <c r="AG359" s="51" t="str">
        <f t="shared" si="314"/>
        <v>1-85.7579497145869i</v>
      </c>
      <c r="AH359" s="51">
        <f t="shared" si="333"/>
        <v>85.763779879676562</v>
      </c>
      <c r="AI359" s="51">
        <f t="shared" si="334"/>
        <v>-1.5591361287276131</v>
      </c>
      <c r="AJ359" s="51" t="str">
        <f t="shared" si="315"/>
        <v>1+0.285859832381956i</v>
      </c>
      <c r="AK359" s="51">
        <f t="shared" si="335"/>
        <v>1.0400556926287361</v>
      </c>
      <c r="AL359" s="51">
        <f t="shared" si="336"/>
        <v>0.27843421584459455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-0.000170731707317073</v>
      </c>
      <c r="AT359" s="32" t="str">
        <f t="shared" si="318"/>
        <v>0.00613710374605329i</v>
      </c>
      <c r="AU359" s="32">
        <f t="shared" si="342"/>
        <v>6.13710374605329E-3</v>
      </c>
      <c r="AV359" s="32">
        <f t="shared" si="343"/>
        <v>1.5707963267948966</v>
      </c>
      <c r="AW359" s="32" t="str">
        <f t="shared" si="319"/>
        <v>1+1.30664208842564i</v>
      </c>
      <c r="AX359" s="32">
        <f t="shared" si="344"/>
        <v>1.6453916090843901</v>
      </c>
      <c r="AY359" s="32">
        <f t="shared" si="345"/>
        <v>0.91756197290583785</v>
      </c>
      <c r="AZ359" s="32" t="str">
        <f t="shared" si="320"/>
        <v>1+24.8261996800871i</v>
      </c>
      <c r="BA359" s="32">
        <f t="shared" si="346"/>
        <v>24.846331531144731</v>
      </c>
      <c r="BB359" s="32">
        <f t="shared" si="347"/>
        <v>1.5305380628683627</v>
      </c>
      <c r="BC359" s="60" t="str">
        <f t="shared" si="348"/>
        <v>-0.241680332725042+0.343609284245653i</v>
      </c>
      <c r="BD359" s="51">
        <f t="shared" si="349"/>
        <v>-7.5331256815511125</v>
      </c>
      <c r="BE359" s="63">
        <f t="shared" si="350"/>
        <v>125.12094289728411</v>
      </c>
      <c r="BF359" s="60" t="str">
        <f t="shared" si="351"/>
        <v>0.165804618755363+0.0586231538882036i</v>
      </c>
      <c r="BG359" s="66">
        <f t="shared" si="352"/>
        <v>-15.096503290022056</v>
      </c>
      <c r="BH359" s="63">
        <f t="shared" si="353"/>
        <v>19.47194823163635</v>
      </c>
      <c r="BI359" s="60" t="e">
        <f t="shared" si="306"/>
        <v>#NUM!</v>
      </c>
      <c r="BJ359" s="66" t="e">
        <f t="shared" si="354"/>
        <v>#NUM!</v>
      </c>
      <c r="BK359" s="63" t="e">
        <f t="shared" si="307"/>
        <v>#NUM!</v>
      </c>
      <c r="BL359" s="51">
        <f t="shared" si="355"/>
        <v>-15.096503290022056</v>
      </c>
      <c r="BM359" s="63">
        <f t="shared" si="356"/>
        <v>19.47194823163635</v>
      </c>
    </row>
    <row r="360" spans="14:65" x14ac:dyDescent="0.3">
      <c r="N360" s="11">
        <v>42</v>
      </c>
      <c r="O360" s="52">
        <f t="shared" si="308"/>
        <v>26302.679918953829</v>
      </c>
      <c r="P360" s="50" t="str">
        <f t="shared" si="309"/>
        <v>23.3035714285714</v>
      </c>
      <c r="Q360" s="18" t="str">
        <f t="shared" si="310"/>
        <v>1+62.6825064109298i</v>
      </c>
      <c r="R360" s="18">
        <f t="shared" si="321"/>
        <v>62.690482610650356</v>
      </c>
      <c r="S360" s="18">
        <f t="shared" si="322"/>
        <v>1.5548442656368109</v>
      </c>
      <c r="T360" s="18" t="str">
        <f t="shared" si="311"/>
        <v>1+0.292518363251006i</v>
      </c>
      <c r="U360" s="18">
        <f t="shared" si="323"/>
        <v>1.0419054625248143</v>
      </c>
      <c r="V360" s="18">
        <f t="shared" si="324"/>
        <v>0.28457885296320123</v>
      </c>
      <c r="W360" s="32" t="str">
        <f t="shared" si="312"/>
        <v>1-0.403980162681866i</v>
      </c>
      <c r="X360" s="18">
        <f t="shared" si="325"/>
        <v>1.0785174879622801</v>
      </c>
      <c r="Y360" s="18">
        <f t="shared" si="326"/>
        <v>-0.38393283569882286</v>
      </c>
      <c r="Z360" s="32" t="str">
        <f t="shared" si="313"/>
        <v>0.997232676116324+0.19827208663916i</v>
      </c>
      <c r="AA360" s="18">
        <f t="shared" si="327"/>
        <v>1.0167520989181049</v>
      </c>
      <c r="AB360" s="18">
        <f t="shared" si="328"/>
        <v>0.19626289257175256</v>
      </c>
      <c r="AC360" s="68" t="str">
        <f t="shared" si="329"/>
        <v>-0.113402621419865-0.394867666836037i</v>
      </c>
      <c r="AD360" s="66">
        <f t="shared" si="330"/>
        <v>-7.7267739931628068</v>
      </c>
      <c r="AE360" s="63">
        <f t="shared" si="331"/>
        <v>-106.02361352906483</v>
      </c>
      <c r="AF360" s="51" t="e">
        <f t="shared" si="332"/>
        <v>#NUM!</v>
      </c>
      <c r="AG360" s="51" t="str">
        <f t="shared" si="314"/>
        <v>1-87.755508975302i</v>
      </c>
      <c r="AH360" s="51">
        <f t="shared" si="333"/>
        <v>87.761206438347855</v>
      </c>
      <c r="AI360" s="51">
        <f t="shared" si="334"/>
        <v>-1.5594015239979973</v>
      </c>
      <c r="AJ360" s="51" t="str">
        <f t="shared" si="315"/>
        <v>1+0.292518363251006i</v>
      </c>
      <c r="AK360" s="51">
        <f t="shared" si="335"/>
        <v>1.0419054625248143</v>
      </c>
      <c r="AL360" s="51">
        <f t="shared" si="336"/>
        <v>0.28457885296320123</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-0.000170731707317073</v>
      </c>
      <c r="AT360" s="32" t="str">
        <f t="shared" si="318"/>
        <v>0.00628005525623629i</v>
      </c>
      <c r="AU360" s="32">
        <f t="shared" si="342"/>
        <v>6.2800552562362897E-3</v>
      </c>
      <c r="AV360" s="32">
        <f t="shared" si="343"/>
        <v>1.5707963267948966</v>
      </c>
      <c r="AW360" s="32" t="str">
        <f t="shared" si="319"/>
        <v>1+1.33707769250504i</v>
      </c>
      <c r="AX360" s="32">
        <f t="shared" si="344"/>
        <v>1.6696636654711638</v>
      </c>
      <c r="AY360" s="32">
        <f t="shared" si="345"/>
        <v>0.92864076814287877</v>
      </c>
      <c r="AZ360" s="32" t="str">
        <f t="shared" si="320"/>
        <v>1+25.4044761575958i</v>
      </c>
      <c r="BA360" s="32">
        <f t="shared" si="346"/>
        <v>25.424150110512123</v>
      </c>
      <c r="BB360" s="32">
        <f t="shared" si="347"/>
        <v>1.531453496508397</v>
      </c>
      <c r="BC360" s="60" t="str">
        <f t="shared" si="348"/>
        <v>-0.234704747261144+0.34100482028i</v>
      </c>
      <c r="BD360" s="51">
        <f t="shared" si="349"/>
        <v>-7.660636679189798</v>
      </c>
      <c r="BE360" s="63">
        <f t="shared" si="350"/>
        <v>124.53862517211037</v>
      </c>
      <c r="BF360" s="60" t="str">
        <f t="shared" si="351"/>
        <v>0.161267911362906+0.0540064754097877i</v>
      </c>
      <c r="BG360" s="66">
        <f t="shared" si="352"/>
        <v>-15.387410672352622</v>
      </c>
      <c r="BH360" s="63">
        <f t="shared" si="353"/>
        <v>18.515011643045568</v>
      </c>
      <c r="BI360" s="60" t="e">
        <f t="shared" si="306"/>
        <v>#NUM!</v>
      </c>
      <c r="BJ360" s="66" t="e">
        <f t="shared" si="354"/>
        <v>#NUM!</v>
      </c>
      <c r="BK360" s="63" t="e">
        <f t="shared" si="307"/>
        <v>#NUM!</v>
      </c>
      <c r="BL360" s="51">
        <f t="shared" si="355"/>
        <v>-15.387410672352622</v>
      </c>
      <c r="BM360" s="63">
        <f t="shared" si="356"/>
        <v>18.515011643045568</v>
      </c>
    </row>
    <row r="361" spans="14:65" x14ac:dyDescent="0.3">
      <c r="N361" s="11">
        <v>43</v>
      </c>
      <c r="O361" s="52">
        <f t="shared" si="308"/>
        <v>26915.348039269167</v>
      </c>
      <c r="P361" s="50" t="str">
        <f t="shared" si="309"/>
        <v>23.3035714285714</v>
      </c>
      <c r="Q361" s="18" t="str">
        <f t="shared" si="310"/>
        <v>1+64.1425695488981i</v>
      </c>
      <c r="R361" s="18">
        <f t="shared" si="321"/>
        <v>64.150364210464375</v>
      </c>
      <c r="S361" s="18">
        <f t="shared" si="322"/>
        <v>1.5552073193696825</v>
      </c>
      <c r="T361" s="18" t="str">
        <f t="shared" si="311"/>
        <v>1+0.299331991228191i</v>
      </c>
      <c r="U361" s="18">
        <f t="shared" si="323"/>
        <v>1.0438388960814948</v>
      </c>
      <c r="V361" s="18">
        <f t="shared" si="324"/>
        <v>0.29084382977338441</v>
      </c>
      <c r="W361" s="32" t="str">
        <f t="shared" si="312"/>
        <v>1-0.413390069492794i</v>
      </c>
      <c r="X361" s="18">
        <f t="shared" si="325"/>
        <v>1.0820773306724696</v>
      </c>
      <c r="Y361" s="18">
        <f t="shared" si="326"/>
        <v>-0.39199598196786645</v>
      </c>
      <c r="Z361" s="32" t="str">
        <f t="shared" si="313"/>
        <v>0.9971022561597+0.202890436822735i</v>
      </c>
      <c r="AA361" s="18">
        <f t="shared" si="327"/>
        <v>1.0175349815081958</v>
      </c>
      <c r="AB361" s="18">
        <f t="shared" si="328"/>
        <v>0.20073953054228635</v>
      </c>
      <c r="AC361" s="68" t="str">
        <f t="shared" si="329"/>
        <v>-0.113878506866772-0.386827887087445i</v>
      </c>
      <c r="AD361" s="66">
        <f t="shared" si="330"/>
        <v>-7.8886843176913226</v>
      </c>
      <c r="AE361" s="63">
        <f t="shared" si="331"/>
        <v>-106.40393495865636</v>
      </c>
      <c r="AF361" s="51" t="e">
        <f t="shared" si="332"/>
        <v>#NUM!</v>
      </c>
      <c r="AG361" s="51" t="str">
        <f t="shared" si="314"/>
        <v>1-89.7995973684575i</v>
      </c>
      <c r="AH361" s="51">
        <f t="shared" si="333"/>
        <v>89.805165149545161</v>
      </c>
      <c r="AI361" s="51">
        <f t="shared" si="334"/>
        <v>-1.5596608796856191</v>
      </c>
      <c r="AJ361" s="51" t="str">
        <f t="shared" si="315"/>
        <v>1+0.299331991228191i</v>
      </c>
      <c r="AK361" s="51">
        <f t="shared" si="335"/>
        <v>1.0438388960814948</v>
      </c>
      <c r="AL361" s="51">
        <f t="shared" si="336"/>
        <v>0.29084382977338441</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-0.000170731707317073</v>
      </c>
      <c r="AT361" s="32" t="str">
        <f t="shared" si="318"/>
        <v>0.00642633653484251i</v>
      </c>
      <c r="AU361" s="32">
        <f t="shared" si="342"/>
        <v>6.4263365348425101E-3</v>
      </c>
      <c r="AV361" s="32">
        <f t="shared" si="343"/>
        <v>1.5707963267948966</v>
      </c>
      <c r="AW361" s="32" t="str">
        <f t="shared" si="319"/>
        <v>1+1.36822223287533i</v>
      </c>
      <c r="AX361" s="32">
        <f t="shared" si="344"/>
        <v>1.6947070775017004</v>
      </c>
      <c r="AY361" s="32">
        <f t="shared" si="345"/>
        <v>0.93964771971852357</v>
      </c>
      <c r="AZ361" s="32" t="str">
        <f t="shared" si="320"/>
        <v>1+25.9962224246314i</v>
      </c>
      <c r="BA361" s="32">
        <f t="shared" si="346"/>
        <v>26.015448878520406</v>
      </c>
      <c r="BB361" s="32">
        <f t="shared" si="347"/>
        <v>1.5323481560890906</v>
      </c>
      <c r="BC361" s="60" t="str">
        <f t="shared" si="348"/>
        <v>-0.227819335229419+0.338274981318022i</v>
      </c>
      <c r="BD361" s="51">
        <f t="shared" si="349"/>
        <v>-7.7902520222208835</v>
      </c>
      <c r="BE361" s="63">
        <f t="shared" si="350"/>
        <v>123.95923351959559</v>
      </c>
      <c r="BF361" s="60" t="str">
        <f t="shared" si="351"/>
        <v>0.156797922009102+0.0496046223015809i</v>
      </c>
      <c r="BG361" s="66">
        <f t="shared" si="352"/>
        <v>-15.678936339912216</v>
      </c>
      <c r="BH361" s="63">
        <f t="shared" si="353"/>
        <v>17.555298560939228</v>
      </c>
      <c r="BI361" s="60" t="e">
        <f t="shared" si="306"/>
        <v>#NUM!</v>
      </c>
      <c r="BJ361" s="66" t="e">
        <f t="shared" si="354"/>
        <v>#NUM!</v>
      </c>
      <c r="BK361" s="63" t="e">
        <f t="shared" si="307"/>
        <v>#NUM!</v>
      </c>
      <c r="BL361" s="51">
        <f t="shared" si="355"/>
        <v>-15.678936339912216</v>
      </c>
      <c r="BM361" s="63">
        <f t="shared" si="356"/>
        <v>17.555298560939228</v>
      </c>
    </row>
    <row r="362" spans="14:65" x14ac:dyDescent="0.3">
      <c r="N362" s="11">
        <v>44</v>
      </c>
      <c r="O362" s="52">
        <f t="shared" si="308"/>
        <v>27542.287033381719</v>
      </c>
      <c r="P362" s="50" t="str">
        <f t="shared" si="309"/>
        <v>23.3035714285714</v>
      </c>
      <c r="Q362" s="18" t="str">
        <f t="shared" si="310"/>
        <v>1+65.6366419262684i</v>
      </c>
      <c r="R362" s="18">
        <f t="shared" si="321"/>
        <v>65.644259180503937</v>
      </c>
      <c r="S362" s="18">
        <f t="shared" si="322"/>
        <v>1.5555621129619801</v>
      </c>
      <c r="T362" s="18" t="str">
        <f t="shared" si="311"/>
        <v>1+0.306304328989253i</v>
      </c>
      <c r="U362" s="18">
        <f t="shared" si="323"/>
        <v>1.0458596186666529</v>
      </c>
      <c r="V362" s="18">
        <f t="shared" si="324"/>
        <v>0.29723050010552204</v>
      </c>
      <c r="W362" s="32" t="str">
        <f t="shared" si="312"/>
        <v>1-0.423019161190431i</v>
      </c>
      <c r="X362" s="18">
        <f t="shared" si="325"/>
        <v>1.0857924344616956</v>
      </c>
      <c r="Y362" s="18">
        <f t="shared" si="326"/>
        <v>-0.40019166350247398</v>
      </c>
      <c r="Z362" s="32" t="str">
        <f t="shared" si="313"/>
        <v>0.996965689699883+0.207616362201486i</v>
      </c>
      <c r="AA362" s="18">
        <f t="shared" si="327"/>
        <v>1.0183541330463297</v>
      </c>
      <c r="AB362" s="18">
        <f t="shared" si="328"/>
        <v>0.2053138456451514</v>
      </c>
      <c r="AC362" s="68" t="str">
        <f t="shared" si="329"/>
        <v>-0.114351434024872-0.378989248015965i</v>
      </c>
      <c r="AD362" s="66">
        <f t="shared" si="330"/>
        <v>-8.0490578199439877</v>
      </c>
      <c r="AE362" s="63">
        <f t="shared" si="331"/>
        <v>-106.7900007906438</v>
      </c>
      <c r="AF362" s="51" t="e">
        <f t="shared" si="332"/>
        <v>#NUM!</v>
      </c>
      <c r="AG362" s="51" t="str">
        <f t="shared" si="314"/>
        <v>1-91.891298696776i</v>
      </c>
      <c r="AH362" s="51">
        <f t="shared" si="333"/>
        <v>91.896739747284343</v>
      </c>
      <c r="AI362" s="51">
        <f t="shared" si="334"/>
        <v>-1.5599143331646517</v>
      </c>
      <c r="AJ362" s="51" t="str">
        <f t="shared" si="315"/>
        <v>1+0.306304328989253i</v>
      </c>
      <c r="AK362" s="51">
        <f t="shared" si="335"/>
        <v>1.0458596186666529</v>
      </c>
      <c r="AL362" s="51">
        <f t="shared" si="336"/>
        <v>0.29723050010552204</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-0.000170731707317073</v>
      </c>
      <c r="AT362" s="32" t="str">
        <f t="shared" si="318"/>
        <v>0.00657602514214214i</v>
      </c>
      <c r="AU362" s="32">
        <f t="shared" si="342"/>
        <v>6.5760251421421402E-3</v>
      </c>
      <c r="AV362" s="32">
        <f t="shared" si="343"/>
        <v>1.5707963267948966</v>
      </c>
      <c r="AW362" s="32" t="str">
        <f t="shared" si="319"/>
        <v>1+1.40009222278406i</v>
      </c>
      <c r="AX362" s="32">
        <f t="shared" si="344"/>
        <v>1.7205400990097295</v>
      </c>
      <c r="AY362" s="32">
        <f t="shared" si="345"/>
        <v>0.95057799579908553</v>
      </c>
      <c r="AZ362" s="32" t="str">
        <f t="shared" si="320"/>
        <v>1+26.6017522328971i</v>
      </c>
      <c r="BA362" s="32">
        <f t="shared" si="346"/>
        <v>26.620541351754021</v>
      </c>
      <c r="BB362" s="32">
        <f t="shared" si="347"/>
        <v>1.5332225102387291</v>
      </c>
      <c r="BC362" s="60" t="str">
        <f t="shared" si="348"/>
        <v>-0.221029514165325+0.335424455394128i</v>
      </c>
      <c r="BD362" s="51">
        <f t="shared" si="349"/>
        <v>-7.921943949311439</v>
      </c>
      <c r="BE362" s="63">
        <f t="shared" si="350"/>
        <v>123.38307163384073</v>
      </c>
      <c r="BF362" s="60" t="str">
        <f t="shared" si="351"/>
        <v>0.152397304022611+0.0454115418815203i</v>
      </c>
      <c r="BG362" s="66">
        <f t="shared" si="352"/>
        <v>-15.97100176925542</v>
      </c>
      <c r="BH362" s="63">
        <f t="shared" si="353"/>
        <v>16.59307084319688</v>
      </c>
      <c r="BI362" s="60" t="e">
        <f t="shared" si="306"/>
        <v>#NUM!</v>
      </c>
      <c r="BJ362" s="66" t="e">
        <f t="shared" si="354"/>
        <v>#NUM!</v>
      </c>
      <c r="BK362" s="63" t="e">
        <f t="shared" si="307"/>
        <v>#NUM!</v>
      </c>
      <c r="BL362" s="51">
        <f t="shared" si="355"/>
        <v>-15.97100176925542</v>
      </c>
      <c r="BM362" s="63">
        <f t="shared" si="356"/>
        <v>16.59307084319688</v>
      </c>
    </row>
    <row r="363" spans="14:65" x14ac:dyDescent="0.3">
      <c r="N363" s="11">
        <v>45</v>
      </c>
      <c r="O363" s="52">
        <f t="shared" si="308"/>
        <v>28183.829312644593</v>
      </c>
      <c r="P363" s="50" t="str">
        <f t="shared" si="309"/>
        <v>23.3035714285714</v>
      </c>
      <c r="Q363" s="18" t="str">
        <f t="shared" si="310"/>
        <v>1+67.1655157199916i</v>
      </c>
      <c r="R363" s="18">
        <f t="shared" si="321"/>
        <v>67.172959603790261</v>
      </c>
      <c r="S363" s="18">
        <f t="shared" si="322"/>
        <v>1.5559088341724705</v>
      </c>
      <c r="T363" s="18" t="str">
        <f t="shared" si="311"/>
        <v>1+0.313439073359961i</v>
      </c>
      <c r="U363" s="18">
        <f t="shared" si="323"/>
        <v>1.0479713988028256</v>
      </c>
      <c r="V363" s="18">
        <f t="shared" si="324"/>
        <v>0.30374016540912224</v>
      </c>
      <c r="W363" s="32" t="str">
        <f t="shared" si="312"/>
        <v>1-0.43287254324665i</v>
      </c>
      <c r="X363" s="18">
        <f t="shared" si="325"/>
        <v>1.0896690500775099</v>
      </c>
      <c r="Y363" s="18">
        <f t="shared" si="326"/>
        <v>-0.40851982073255666</v>
      </c>
      <c r="Z363" s="32" t="str">
        <f t="shared" si="313"/>
        <v>0.996822687061103+0.212452368523604i</v>
      </c>
      <c r="AA363" s="18">
        <f t="shared" si="327"/>
        <v>1.0192112039862038</v>
      </c>
      <c r="AB363" s="18">
        <f t="shared" si="328"/>
        <v>0.20998766380650422</v>
      </c>
      <c r="AC363" s="68" t="str">
        <f t="shared" si="329"/>
        <v>-0.114822311507947-0.371347380630035i</v>
      </c>
      <c r="AD363" s="66">
        <f t="shared" si="330"/>
        <v>-8.2078428422796463</v>
      </c>
      <c r="AE363" s="63">
        <f t="shared" si="331"/>
        <v>-107.18184841999584</v>
      </c>
      <c r="AF363" s="51" t="e">
        <f t="shared" si="332"/>
        <v>#NUM!</v>
      </c>
      <c r="AG363" s="51" t="str">
        <f t="shared" si="314"/>
        <v>1-94.0317220079885i</v>
      </c>
      <c r="AH363" s="51">
        <f t="shared" si="333"/>
        <v>94.037039212151029</v>
      </c>
      <c r="AI363" s="51">
        <f t="shared" si="334"/>
        <v>-1.5601620186891574</v>
      </c>
      <c r="AJ363" s="51" t="str">
        <f t="shared" si="315"/>
        <v>1+0.313439073359961i</v>
      </c>
      <c r="AK363" s="51">
        <f t="shared" si="335"/>
        <v>1.0479713988028256</v>
      </c>
      <c r="AL363" s="51">
        <f t="shared" si="336"/>
        <v>0.30374016540912224</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-0.000170731707317073</v>
      </c>
      <c r="AT363" s="32" t="str">
        <f t="shared" si="318"/>
        <v>0.0067292004450161i</v>
      </c>
      <c r="AU363" s="32">
        <f t="shared" si="342"/>
        <v>6.7292004450160998E-3</v>
      </c>
      <c r="AV363" s="32">
        <f t="shared" si="343"/>
        <v>1.5707963267948966</v>
      </c>
      <c r="AW363" s="32" t="str">
        <f t="shared" si="319"/>
        <v>1+1.43270456012171i</v>
      </c>
      <c r="AX363" s="32">
        <f t="shared" si="344"/>
        <v>1.7471812603715571</v>
      </c>
      <c r="AY363" s="32">
        <f t="shared" si="345"/>
        <v>0.96142694519943184</v>
      </c>
      <c r="AZ363" s="32" t="str">
        <f t="shared" si="320"/>
        <v>1+27.2213866423125i</v>
      </c>
      <c r="BA363" s="32">
        <f t="shared" si="346"/>
        <v>27.239748360259668</v>
      </c>
      <c r="BB363" s="32">
        <f t="shared" si="347"/>
        <v>1.5340770172008886</v>
      </c>
      <c r="BC363" s="60" t="str">
        <f t="shared" si="348"/>
        <v>-0.214340352539497+0.332458167728775i</v>
      </c>
      <c r="BD363" s="51">
        <f t="shared" si="349"/>
        <v>-8.0556830676453401</v>
      </c>
      <c r="BE363" s="63">
        <f t="shared" si="350"/>
        <v>122.8104322635461</v>
      </c>
      <c r="BF363" s="60" t="str">
        <f t="shared" si="351"/>
        <v>0.148068524483155+0.0414211131805458i</v>
      </c>
      <c r="BG363" s="66">
        <f t="shared" si="352"/>
        <v>-16.263525909924969</v>
      </c>
      <c r="BH363" s="63">
        <f t="shared" si="353"/>
        <v>15.62858384355023</v>
      </c>
      <c r="BI363" s="60" t="e">
        <f t="shared" si="306"/>
        <v>#NUM!</v>
      </c>
      <c r="BJ363" s="66" t="e">
        <f t="shared" si="354"/>
        <v>#NUM!</v>
      </c>
      <c r="BK363" s="63" t="e">
        <f t="shared" si="307"/>
        <v>#NUM!</v>
      </c>
      <c r="BL363" s="51">
        <f t="shared" si="355"/>
        <v>-16.263525909924969</v>
      </c>
      <c r="BM363" s="63">
        <f t="shared" si="356"/>
        <v>15.62858384355023</v>
      </c>
    </row>
    <row r="364" spans="14:65" x14ac:dyDescent="0.3">
      <c r="N364" s="11">
        <v>46</v>
      </c>
      <c r="O364" s="52">
        <f t="shared" si="308"/>
        <v>28840.315031266062</v>
      </c>
      <c r="P364" s="50" t="str">
        <f t="shared" si="309"/>
        <v>23.3035714285714</v>
      </c>
      <c r="Q364" s="18" t="str">
        <f t="shared" si="310"/>
        <v>1+68.7300015591899i</v>
      </c>
      <c r="R364" s="18">
        <f t="shared" si="321"/>
        <v>68.737276017647403</v>
      </c>
      <c r="S364" s="18">
        <f t="shared" si="322"/>
        <v>1.5562476665036868</v>
      </c>
      <c r="T364" s="18" t="str">
        <f t="shared" si="311"/>
        <v>1+0.32074000727622i</v>
      </c>
      <c r="U364" s="18">
        <f t="shared" si="323"/>
        <v>1.0501781526329472</v>
      </c>
      <c r="V364" s="18">
        <f t="shared" si="324"/>
        <v>0.31037406957978075</v>
      </c>
      <c r="W364" s="32" t="str">
        <f t="shared" si="312"/>
        <v>1-0.442955440055043i</v>
      </c>
      <c r="X364" s="18">
        <f t="shared" si="325"/>
        <v>1.0937136379667014</v>
      </c>
      <c r="Y364" s="18">
        <f t="shared" si="326"/>
        <v>-0.41698024729777849</v>
      </c>
      <c r="Z364" s="32" t="str">
        <f t="shared" si="313"/>
        <v>0.996672944915589+0.217401019903651i</v>
      </c>
      <c r="AA364" s="18">
        <f t="shared" si="327"/>
        <v>1.0201079171253697</v>
      </c>
      <c r="AB364" s="18">
        <f t="shared" si="328"/>
        <v>0.21476282398111857</v>
      </c>
      <c r="AC364" s="68" t="str">
        <f t="shared" si="329"/>
        <v>-0.115292035275652-0.363898003687784i</v>
      </c>
      <c r="AD364" s="66">
        <f t="shared" si="330"/>
        <v>-8.3649868855802776</v>
      </c>
      <c r="AE364" s="63">
        <f t="shared" si="331"/>
        <v>-107.57951063143597</v>
      </c>
      <c r="AF364" s="51" t="e">
        <f t="shared" si="332"/>
        <v>#NUM!</v>
      </c>
      <c r="AG364" s="51" t="str">
        <f t="shared" si="314"/>
        <v>1-96.222002182866i</v>
      </c>
      <c r="AH364" s="51">
        <f t="shared" si="333"/>
        <v>96.227198359296892</v>
      </c>
      <c r="AI364" s="51">
        <f t="shared" si="334"/>
        <v>-1.5604040674636499</v>
      </c>
      <c r="AJ364" s="51" t="str">
        <f t="shared" si="315"/>
        <v>1+0.32074000727622i</v>
      </c>
      <c r="AK364" s="51">
        <f t="shared" si="335"/>
        <v>1.0501781526329472</v>
      </c>
      <c r="AL364" s="51">
        <f t="shared" si="336"/>
        <v>0.31037406957978075</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-0.000170731707317073</v>
      </c>
      <c r="AT364" s="32" t="str">
        <f t="shared" si="318"/>
        <v>0.0068859436590375i</v>
      </c>
      <c r="AU364" s="32">
        <f t="shared" si="342"/>
        <v>6.8859436590375002E-3</v>
      </c>
      <c r="AV364" s="32">
        <f t="shared" si="343"/>
        <v>1.5707963267948966</v>
      </c>
      <c r="AW364" s="32" t="str">
        <f t="shared" si="319"/>
        <v>1+1.46607653638122i</v>
      </c>
      <c r="AX364" s="32">
        <f t="shared" si="344"/>
        <v>1.7746493767861737</v>
      </c>
      <c r="AY364" s="32">
        <f t="shared" si="345"/>
        <v>0.97219010497566227</v>
      </c>
      <c r="AZ364" s="32" t="str">
        <f t="shared" si="320"/>
        <v>1+27.8554541912432i</v>
      </c>
      <c r="BA364" s="32">
        <f t="shared" si="346"/>
        <v>27.873398217663528</v>
      </c>
      <c r="BB364" s="32">
        <f t="shared" si="347"/>
        <v>1.5349121250520557</v>
      </c>
      <c r="BC364" s="60" t="str">
        <f t="shared" si="348"/>
        <v>-0.207756559576638+0.32938125257058i</v>
      </c>
      <c r="BD364" s="51">
        <f t="shared" si="349"/>
        <v>-8.1914384625135952</v>
      </c>
      <c r="BE364" s="63">
        <f t="shared" si="350"/>
        <v>122.24159678945342</v>
      </c>
      <c r="BF364" s="60" t="str">
        <f t="shared" si="351"/>
        <v>0.143813856858074+0.037627162292475i</v>
      </c>
      <c r="BG364" s="66">
        <f t="shared" si="352"/>
        <v>-16.556425348093853</v>
      </c>
      <c r="BH364" s="63">
        <f t="shared" si="353"/>
        <v>14.662086158017436</v>
      </c>
      <c r="BI364" s="60" t="e">
        <f t="shared" si="306"/>
        <v>#NUM!</v>
      </c>
      <c r="BJ364" s="66" t="e">
        <f t="shared" si="354"/>
        <v>#NUM!</v>
      </c>
      <c r="BK364" s="63" t="e">
        <f t="shared" si="307"/>
        <v>#NUM!</v>
      </c>
      <c r="BL364" s="51">
        <f t="shared" si="355"/>
        <v>-16.556425348093853</v>
      </c>
      <c r="BM364" s="63">
        <f t="shared" si="356"/>
        <v>14.662086158017436</v>
      </c>
    </row>
    <row r="365" spans="14:65" x14ac:dyDescent="0.3">
      <c r="N365" s="11">
        <v>47</v>
      </c>
      <c r="O365" s="52">
        <f t="shared" si="308"/>
        <v>29512.092266663854</v>
      </c>
      <c r="P365" s="50" t="str">
        <f t="shared" si="309"/>
        <v>23.3035714285714</v>
      </c>
      <c r="Q365" s="18" t="str">
        <f t="shared" si="310"/>
        <v>1+70.3309289549646i</v>
      </c>
      <c r="R365" s="18">
        <f t="shared" si="321"/>
        <v>70.338037843461905</v>
      </c>
      <c r="S365" s="18">
        <f t="shared" si="322"/>
        <v>1.5565787892976344</v>
      </c>
      <c r="T365" s="18" t="str">
        <f t="shared" si="311"/>
        <v>1+0.328211001789835i</v>
      </c>
      <c r="U365" s="18">
        <f t="shared" si="323"/>
        <v>1.0524839484267146</v>
      </c>
      <c r="V365" s="18">
        <f t="shared" si="324"/>
        <v>0.31713339357861692</v>
      </c>
      <c r="W365" s="32" t="str">
        <f t="shared" si="312"/>
        <v>1-0.453273197700965i</v>
      </c>
      <c r="X365" s="18">
        <f t="shared" si="325"/>
        <v>1.0979328721529646</v>
      </c>
      <c r="Y365" s="18">
        <f t="shared" si="326"/>
        <v>-0.42557258328116543</v>
      </c>
      <c r="Z365" s="32" t="str">
        <f t="shared" si="313"/>
        <v>0.996516145640176+0.222464940182096i</v>
      </c>
      <c r="AA365" s="18">
        <f t="shared" si="327"/>
        <v>1.021046070523645</v>
      </c>
      <c r="AB365" s="18">
        <f t="shared" si="328"/>
        <v>0.21964117664589097</v>
      </c>
      <c r="AC365" s="68" t="str">
        <f t="shared" si="329"/>
        <v>-0.115761489812949-0.356636920707837i</v>
      </c>
      <c r="AD365" s="66">
        <f t="shared" si="330"/>
        <v>-8.5204366701339147</v>
      </c>
      <c r="AE365" s="63">
        <f t="shared" si="331"/>
        <v>-107.98301543920934</v>
      </c>
      <c r="AF365" s="51" t="e">
        <f t="shared" si="332"/>
        <v>#NUM!</v>
      </c>
      <c r="AG365" s="51" t="str">
        <f t="shared" si="314"/>
        <v>1-98.4633005369507i</v>
      </c>
      <c r="AH365" s="51">
        <f t="shared" si="333"/>
        <v>98.468378440136178</v>
      </c>
      <c r="AI365" s="51">
        <f t="shared" si="334"/>
        <v>-1.5606406077120798</v>
      </c>
      <c r="AJ365" s="51" t="str">
        <f t="shared" si="315"/>
        <v>1+0.328211001789835i</v>
      </c>
      <c r="AK365" s="51">
        <f t="shared" si="335"/>
        <v>1.0524839484267146</v>
      </c>
      <c r="AL365" s="51">
        <f t="shared" si="336"/>
        <v>0.31713339357861692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-0.000170731707317073</v>
      </c>
      <c r="AT365" s="32" t="str">
        <f t="shared" si="318"/>
        <v>0.00704633789153316i</v>
      </c>
      <c r="AU365" s="32">
        <f t="shared" si="342"/>
        <v>7.0463378915331604E-3</v>
      </c>
      <c r="AV365" s="32">
        <f t="shared" si="343"/>
        <v>1.5707963267948966</v>
      </c>
      <c r="AW365" s="32" t="str">
        <f t="shared" si="319"/>
        <v>1+1.50022584582615i</v>
      </c>
      <c r="AX365" s="32">
        <f t="shared" si="344"/>
        <v>1.8029635571704679</v>
      </c>
      <c r="AY365" s="32">
        <f t="shared" si="345"/>
        <v>0.98286320702789942</v>
      </c>
      <c r="AZ365" s="32" t="str">
        <f t="shared" si="320"/>
        <v>1+28.5042910706969i</v>
      </c>
      <c r="BA365" s="32">
        <f t="shared" si="346"/>
        <v>28.521826895257096</v>
      </c>
      <c r="BB365" s="32">
        <f t="shared" si="347"/>
        <v>1.5357282719155392</v>
      </c>
      <c r="BC365" s="60" t="str">
        <f t="shared" si="348"/>
        <v>-0.201282477600079+0.326199024803934i</v>
      </c>
      <c r="BD365" s="51">
        <f t="shared" si="349"/>
        <v>-8.3291778095736397</v>
      </c>
      <c r="BE365" s="63">
        <f t="shared" si="350"/>
        <v>121.67683485828822</v>
      </c>
      <c r="BF365" s="60" t="str">
        <f t="shared" si="351"/>
        <v>0.139635375224201+0.0340234779169018i</v>
      </c>
      <c r="BG365" s="66">
        <f t="shared" si="352"/>
        <v>-16.849614479707562</v>
      </c>
      <c r="BH365" s="63">
        <f t="shared" si="353"/>
        <v>13.693819419078849</v>
      </c>
      <c r="BI365" s="60" t="e">
        <f t="shared" si="306"/>
        <v>#NUM!</v>
      </c>
      <c r="BJ365" s="66" t="e">
        <f t="shared" si="354"/>
        <v>#NUM!</v>
      </c>
      <c r="BK365" s="63" t="e">
        <f t="shared" si="307"/>
        <v>#NUM!</v>
      </c>
      <c r="BL365" s="51">
        <f t="shared" si="355"/>
        <v>-16.849614479707562</v>
      </c>
      <c r="BM365" s="63">
        <f t="shared" si="356"/>
        <v>13.693819419078849</v>
      </c>
    </row>
    <row r="366" spans="14:65" x14ac:dyDescent="0.3">
      <c r="N366" s="11">
        <v>48</v>
      </c>
      <c r="O366" s="52">
        <f t="shared" si="308"/>
        <v>30199.517204020212</v>
      </c>
      <c r="P366" s="50" t="str">
        <f t="shared" si="309"/>
        <v>23.3035714285714</v>
      </c>
      <c r="Q366" s="18" t="str">
        <f t="shared" si="310"/>
        <v>1+71.9691467402109i</v>
      </c>
      <c r="R366" s="18">
        <f t="shared" si="321"/>
        <v>71.976093826450537</v>
      </c>
      <c r="S366" s="18">
        <f t="shared" si="322"/>
        <v>1.556902377829394</v>
      </c>
      <c r="T366" s="18" t="str">
        <f t="shared" si="311"/>
        <v>1+0.335856018120984i</v>
      </c>
      <c r="U366" s="18">
        <f t="shared" si="323"/>
        <v>1.0548930111191763</v>
      </c>
      <c r="V366" s="18">
        <f t="shared" si="324"/>
        <v>0.32401924984921293</v>
      </c>
      <c r="W366" s="32" t="str">
        <f t="shared" si="312"/>
        <v>1-0.463831286796086i</v>
      </c>
      <c r="X366" s="18">
        <f t="shared" si="325"/>
        <v>1.1023336439621685</v>
      </c>
      <c r="Y366" s="18">
        <f t="shared" si="326"/>
        <v>-0.43429630855558699</v>
      </c>
      <c r="Z366" s="32" t="str">
        <f t="shared" si="313"/>
        <v>0.996351956642576+0.227646814316496i</v>
      </c>
      <c r="AA366" s="18">
        <f t="shared" si="327"/>
        <v>1.0220275405163692</v>
      </c>
      <c r="AB366" s="18">
        <f t="shared" si="328"/>
        <v>0.22462458216199113</v>
      </c>
      <c r="AC366" s="68" t="str">
        <f t="shared" si="329"/>
        <v>-0.116231549229278-0.349560016983357i</v>
      </c>
      <c r="AD366" s="66">
        <f t="shared" si="330"/>
        <v>-8.6741382036121806</v>
      </c>
      <c r="AE366" s="63">
        <f t="shared" si="331"/>
        <v>-108.39238593726998</v>
      </c>
      <c r="AF366" s="51" t="e">
        <f t="shared" si="332"/>
        <v>#NUM!</v>
      </c>
      <c r="AG366" s="51" t="str">
        <f t="shared" si="314"/>
        <v>1-100.756805436295i</v>
      </c>
      <c r="AH366" s="51">
        <f t="shared" si="333"/>
        <v>100.76176775805098</v>
      </c>
      <c r="AI366" s="51">
        <f t="shared" si="334"/>
        <v>-1.5608717647452788</v>
      </c>
      <c r="AJ366" s="51" t="str">
        <f t="shared" si="315"/>
        <v>1+0.335856018120984i</v>
      </c>
      <c r="AK366" s="51">
        <f t="shared" si="335"/>
        <v>1.0548930111191763</v>
      </c>
      <c r="AL366" s="51">
        <f t="shared" si="336"/>
        <v>0.32401924984921293</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-0.000170731707317073</v>
      </c>
      <c r="AT366" s="32" t="str">
        <f t="shared" si="318"/>
        <v>0.00721046818564824i</v>
      </c>
      <c r="AU366" s="32">
        <f t="shared" si="342"/>
        <v>7.2104681856482401E-3</v>
      </c>
      <c r="AV366" s="32">
        <f t="shared" si="343"/>
        <v>1.5707963267948966</v>
      </c>
      <c r="AW366" s="32" t="str">
        <f t="shared" si="319"/>
        <v>1+1.53517059487236i</v>
      </c>
      <c r="AX366" s="32">
        <f t="shared" si="344"/>
        <v>1.832143213660099</v>
      </c>
      <c r="AY366" s="32">
        <f t="shared" si="345"/>
        <v>0.99344218370919968</v>
      </c>
      <c r="AZ366" s="32" t="str">
        <f t="shared" si="320"/>
        <v>1+29.168241302575i</v>
      </c>
      <c r="BA366" s="32">
        <f t="shared" si="346"/>
        <v>29.185378200140605</v>
      </c>
      <c r="BB366" s="32">
        <f t="shared" si="347"/>
        <v>1.5365258861716689</v>
      </c>
      <c r="BC366" s="60" t="str">
        <f t="shared" si="348"/>
        <v>-0.194922076859144+0.322916951569346i</v>
      </c>
      <c r="BD366" s="51">
        <f t="shared" si="349"/>
        <v>-8.4688674890142739</v>
      </c>
      <c r="BE366" s="63">
        <f t="shared" si="350"/>
        <v>121.11640407343795</v>
      </c>
      <c r="BF366" s="60" t="str">
        <f t="shared" si="351"/>
        <v>0.135534950047121+0.0306038269440128i</v>
      </c>
      <c r="BG366" s="66">
        <f t="shared" si="352"/>
        <v>-17.143005692626463</v>
      </c>
      <c r="BH366" s="63">
        <f t="shared" si="353"/>
        <v>12.724018136167984</v>
      </c>
      <c r="BI366" s="60" t="e">
        <f t="shared" si="306"/>
        <v>#NUM!</v>
      </c>
      <c r="BJ366" s="66" t="e">
        <f t="shared" si="354"/>
        <v>#NUM!</v>
      </c>
      <c r="BK366" s="63" t="e">
        <f t="shared" si="307"/>
        <v>#NUM!</v>
      </c>
      <c r="BL366" s="51">
        <f t="shared" si="355"/>
        <v>-17.143005692626463</v>
      </c>
      <c r="BM366" s="63">
        <f t="shared" si="356"/>
        <v>12.724018136167984</v>
      </c>
    </row>
    <row r="367" spans="14:65" x14ac:dyDescent="0.3">
      <c r="N367" s="11">
        <v>49</v>
      </c>
      <c r="O367" s="52">
        <f t="shared" si="308"/>
        <v>30902.954325135954</v>
      </c>
      <c r="P367" s="50" t="str">
        <f t="shared" si="309"/>
        <v>23.3035714285714</v>
      </c>
      <c r="Q367" s="18" t="str">
        <f t="shared" si="310"/>
        <v>1+73.645523519683i</v>
      </c>
      <c r="R367" s="18">
        <f t="shared" si="321"/>
        <v>73.652312485679502</v>
      </c>
      <c r="S367" s="18">
        <f t="shared" si="322"/>
        <v>1.5572186033986706</v>
      </c>
      <c r="T367" s="18" t="str">
        <f t="shared" si="311"/>
        <v>1+0.343679109758521i</v>
      </c>
      <c r="U367" s="18">
        <f t="shared" si="323"/>
        <v>1.0574097268724219</v>
      </c>
      <c r="V367" s="18">
        <f t="shared" si="324"/>
        <v>0.33103267653887036</v>
      </c>
      <c r="W367" s="32" t="str">
        <f t="shared" si="312"/>
        <v>1-0.474635305378999i</v>
      </c>
      <c r="X367" s="18">
        <f t="shared" si="325"/>
        <v>1.1069230655796345</v>
      </c>
      <c r="Y367" s="18">
        <f t="shared" si="326"/>
        <v>-0.44315073628634566</v>
      </c>
      <c r="Z367" s="32" t="str">
        <f t="shared" si="313"/>
        <v>0.996180029655914+0.232949389805108i</v>
      </c>
      <c r="AA367" s="18">
        <f t="shared" si="327"/>
        <v>1.0230542848235522</v>
      </c>
      <c r="AB367" s="18">
        <f t="shared" si="328"/>
        <v>0.22971490899925637</v>
      </c>
      <c r="AC367" s="68" t="str">
        <f t="shared" si="329"/>
        <v>-0.116703078275962-0.342663256598187i</v>
      </c>
      <c r="AD367" s="66">
        <f t="shared" si="330"/>
        <v>-8.8260368563855511</v>
      </c>
      <c r="AE367" s="63">
        <f t="shared" si="331"/>
        <v>-108.80764016161532</v>
      </c>
      <c r="AF367" s="51" t="e">
        <f t="shared" si="332"/>
        <v>#NUM!</v>
      </c>
      <c r="AG367" s="51" t="str">
        <f t="shared" si="314"/>
        <v>1-103.103732927556i</v>
      </c>
      <c r="AH367" s="51">
        <f t="shared" si="333"/>
        <v>103.10858229845272</v>
      </c>
      <c r="AI367" s="51">
        <f t="shared" si="334"/>
        <v>-1.5610976610268967</v>
      </c>
      <c r="AJ367" s="51" t="str">
        <f t="shared" si="315"/>
        <v>1+0.343679109758521i</v>
      </c>
      <c r="AK367" s="51">
        <f t="shared" si="335"/>
        <v>1.0574097268724219</v>
      </c>
      <c r="AL367" s="51">
        <f t="shared" si="336"/>
        <v>0.33103267653887036</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-0.000170731707317073</v>
      </c>
      <c r="AT367" s="32" t="str">
        <f t="shared" si="318"/>
        <v>0.00737842156543717i</v>
      </c>
      <c r="AU367" s="32">
        <f t="shared" si="342"/>
        <v>7.3784215654371698E-3</v>
      </c>
      <c r="AV367" s="32">
        <f t="shared" si="343"/>
        <v>1.5707963267948966</v>
      </c>
      <c r="AW367" s="32" t="str">
        <f t="shared" si="319"/>
        <v>1+1.57092931168837i</v>
      </c>
      <c r="AX367" s="32">
        <f t="shared" si="344"/>
        <v>1.8622080717045817</v>
      </c>
      <c r="AY367" s="32">
        <f t="shared" si="345"/>
        <v>1.0039231724451294</v>
      </c>
      <c r="AZ367" s="32" t="str">
        <f t="shared" si="320"/>
        <v>1+29.847656922079i</v>
      </c>
      <c r="BA367" s="32">
        <f t="shared" si="346"/>
        <v>29.864403957523255</v>
      </c>
      <c r="BB367" s="32">
        <f t="shared" si="347"/>
        <v>1.5373053866642978</v>
      </c>
      <c r="BC367" s="60" t="str">
        <f t="shared" si="348"/>
        <v>-0.188678952770922+0.319540624131458i</v>
      </c>
      <c r="BD367" s="51">
        <f t="shared" si="349"/>
        <v>-8.6104727008795798</v>
      </c>
      <c r="BE367" s="63">
        <f t="shared" si="350"/>
        <v>120.5605497421011</v>
      </c>
      <c r="BF367" s="60" t="str">
        <f t="shared" si="351"/>
        <v>0.131514245474554+0.0273619699376564i</v>
      </c>
      <c r="BG367" s="66">
        <f t="shared" si="352"/>
        <v>-17.436509557265136</v>
      </c>
      <c r="BH367" s="63">
        <f t="shared" si="353"/>
        <v>11.75290958048579</v>
      </c>
      <c r="BI367" s="60" t="e">
        <f t="shared" si="306"/>
        <v>#NUM!</v>
      </c>
      <c r="BJ367" s="66" t="e">
        <f t="shared" si="354"/>
        <v>#NUM!</v>
      </c>
      <c r="BK367" s="63" t="e">
        <f t="shared" si="307"/>
        <v>#NUM!</v>
      </c>
      <c r="BL367" s="51">
        <f t="shared" si="355"/>
        <v>-17.436509557265136</v>
      </c>
      <c r="BM367" s="63">
        <f t="shared" si="356"/>
        <v>11.75290958048579</v>
      </c>
    </row>
    <row r="368" spans="14:65" x14ac:dyDescent="0.3">
      <c r="N368" s="11">
        <v>50</v>
      </c>
      <c r="O368" s="52">
        <f t="shared" si="308"/>
        <v>31622.77660168384</v>
      </c>
      <c r="P368" s="50" t="str">
        <f t="shared" si="309"/>
        <v>23.3035714285714</v>
      </c>
      <c r="Q368" s="18" t="str">
        <f t="shared" si="310"/>
        <v>1+75.360948130539i</v>
      </c>
      <c r="R368" s="18">
        <f t="shared" si="321"/>
        <v>75.367582574564452</v>
      </c>
      <c r="S368" s="18">
        <f t="shared" si="322"/>
        <v>1.5575276334193242</v>
      </c>
      <c r="T368" s="18" t="str">
        <f t="shared" si="311"/>
        <v>1+0.351684424609182i</v>
      </c>
      <c r="U368" s="18">
        <f t="shared" si="323"/>
        <v>1.0600386476504955</v>
      </c>
      <c r="V368" s="18">
        <f t="shared" si="324"/>
        <v>0.33817463153283756</v>
      </c>
      <c r="W368" s="32" t="str">
        <f t="shared" si="312"/>
        <v>1-0.485690981883365i</v>
      </c>
      <c r="X368" s="18">
        <f t="shared" si="325"/>
        <v>1.1117084734240481</v>
      </c>
      <c r="Y368" s="18">
        <f t="shared" si="326"/>
        <v>-0.45213500663562844</v>
      </c>
      <c r="Z368" s="32" t="str">
        <f t="shared" si="313"/>
        <v>0.996+0.238375478143644i</v>
      </c>
      <c r="AA368" s="18">
        <f t="shared" si="327"/>
        <v>1.0241283457556531</v>
      </c>
      <c r="AB368" s="18">
        <f t="shared" si="328"/>
        <v>0.23491403181630441</v>
      </c>
      <c r="AC368" s="68" t="str">
        <f t="shared" si="329"/>
        <v>-0.117176933279971-0.335942679444315i</v>
      </c>
      <c r="AD368" s="66">
        <f t="shared" si="330"/>
        <v>-8.9760774443878653</v>
      </c>
      <c r="AE368" s="63">
        <f t="shared" si="331"/>
        <v>-109.22879096652032</v>
      </c>
      <c r="AF368" s="51" t="e">
        <f t="shared" si="332"/>
        <v>#NUM!</v>
      </c>
      <c r="AG368" s="51" t="str">
        <f t="shared" si="314"/>
        <v>1-105.505327382755i</v>
      </c>
      <c r="AH368" s="51">
        <f t="shared" si="333"/>
        <v>105.51006637350918</v>
      </c>
      <c r="AI368" s="51">
        <f t="shared" si="334"/>
        <v>-1.5613184162378611</v>
      </c>
      <c r="AJ368" s="51" t="str">
        <f t="shared" si="315"/>
        <v>1+0.351684424609182i</v>
      </c>
      <c r="AK368" s="51">
        <f t="shared" si="335"/>
        <v>1.0600386476504955</v>
      </c>
      <c r="AL368" s="51">
        <f t="shared" si="336"/>
        <v>0.33817463153283756</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-0.000170731707317073</v>
      </c>
      <c r="AT368" s="32" t="str">
        <f t="shared" si="318"/>
        <v>0.00755028708200505i</v>
      </c>
      <c r="AU368" s="32">
        <f t="shared" si="342"/>
        <v>7.5502870820050496E-3</v>
      </c>
      <c r="AV368" s="32">
        <f t="shared" si="343"/>
        <v>1.5707963267948966</v>
      </c>
      <c r="AW368" s="32" t="str">
        <f t="shared" si="319"/>
        <v>1+1.60752095601913i</v>
      </c>
      <c r="AX368" s="32">
        <f t="shared" si="344"/>
        <v>1.8931781807428105</v>
      </c>
      <c r="AY368" s="32">
        <f t="shared" si="345"/>
        <v>1.0143025193764035</v>
      </c>
      <c r="AZ368" s="32" t="str">
        <f t="shared" si="320"/>
        <v>1+30.5428981643635i</v>
      </c>
      <c r="BA368" s="32">
        <f t="shared" si="346"/>
        <v>30.559264197272146</v>
      </c>
      <c r="BB368" s="32">
        <f t="shared" si="347"/>
        <v>1.538067182903613</v>
      </c>
      <c r="BC368" s="60" t="str">
        <f t="shared" si="348"/>
        <v>-0.182556325485117+0.316075730214655i</v>
      </c>
      <c r="BD368" s="51">
        <f t="shared" si="349"/>
        <v>-8.7539575808289811</v>
      </c>
      <c r="BE368" s="63">
        <f t="shared" si="350"/>
        <v>120.00950467819867</v>
      </c>
      <c r="BF368" s="60" t="str">
        <f t="shared" si="351"/>
        <v>0.127574718086836+0.0242916763821979i</v>
      </c>
      <c r="BG368" s="66">
        <f t="shared" si="352"/>
        <v>-17.730035025216836</v>
      </c>
      <c r="BH368" s="63">
        <f t="shared" si="353"/>
        <v>10.780713711678322</v>
      </c>
      <c r="BI368" s="60" t="e">
        <f t="shared" si="306"/>
        <v>#NUM!</v>
      </c>
      <c r="BJ368" s="66" t="e">
        <f t="shared" si="354"/>
        <v>#NUM!</v>
      </c>
      <c r="BK368" s="63" t="e">
        <f t="shared" si="307"/>
        <v>#NUM!</v>
      </c>
      <c r="BL368" s="51">
        <f t="shared" si="355"/>
        <v>-17.730035025216836</v>
      </c>
      <c r="BM368" s="63">
        <f t="shared" si="356"/>
        <v>10.780713711678322</v>
      </c>
    </row>
    <row r="369" spans="14:65" x14ac:dyDescent="0.3">
      <c r="N369" s="11">
        <v>51</v>
      </c>
      <c r="O369" s="52">
        <f t="shared" si="308"/>
        <v>32359.365692962871</v>
      </c>
      <c r="P369" s="50" t="str">
        <f t="shared" si="309"/>
        <v>23.3035714285714</v>
      </c>
      <c r="Q369" s="18" t="str">
        <f t="shared" si="310"/>
        <v>1+77.1163301136139i</v>
      </c>
      <c r="R369" s="18">
        <f t="shared" si="321"/>
        <v>77.122813552099316</v>
      </c>
      <c r="S369" s="18">
        <f t="shared" si="322"/>
        <v>1.5578296315069291</v>
      </c>
      <c r="T369" s="18" t="str">
        <f t="shared" si="311"/>
        <v>1+0.359876207196865i</v>
      </c>
      <c r="U369" s="18">
        <f t="shared" si="323"/>
        <v>1.062784495796961</v>
      </c>
      <c r="V369" s="18">
        <f t="shared" si="324"/>
        <v>0.34544598631227796</v>
      </c>
      <c r="W369" s="32" t="str">
        <f t="shared" si="312"/>
        <v>1-0.497004178175206i</v>
      </c>
      <c r="X369" s="18">
        <f t="shared" si="325"/>
        <v>1.1166974313231011</v>
      </c>
      <c r="Y369" s="18">
        <f t="shared" si="326"/>
        <v>-0.46124808071706563</v>
      </c>
      <c r="Z369" s="32" t="str">
        <f t="shared" si="313"/>
        <v>0.995811485807796+0.243927956315965i</v>
      </c>
      <c r="AA369" s="18">
        <f t="shared" si="327"/>
        <v>1.0252518535165951</v>
      </c>
      <c r="AB369" s="18">
        <f t="shared" si="328"/>
        <v>0.24022382938987377</v>
      </c>
      <c r="AC369" s="68" t="str">
        <f t="shared" si="329"/>
        <v>-0.117653962991841-0.329394398239997i</v>
      </c>
      <c r="AD369" s="66">
        <f t="shared" si="330"/>
        <v>-9.1242043197108433</v>
      </c>
      <c r="AE369" s="63">
        <f t="shared" si="331"/>
        <v>-109.65584591644765</v>
      </c>
      <c r="AF369" s="51" t="e">
        <f t="shared" si="332"/>
        <v>#NUM!</v>
      </c>
      <c r="AG369" s="51" t="str">
        <f t="shared" si="314"/>
        <v>1-107.96286215906i</v>
      </c>
      <c r="AH369" s="51">
        <f t="shared" si="333"/>
        <v>107.96749328189568</v>
      </c>
      <c r="AI369" s="51">
        <f t="shared" si="334"/>
        <v>-1.5615341473393929</v>
      </c>
      <c r="AJ369" s="51" t="str">
        <f t="shared" si="315"/>
        <v>1+0.359876207196865i</v>
      </c>
      <c r="AK369" s="51">
        <f t="shared" si="335"/>
        <v>1.062784495796961</v>
      </c>
      <c r="AL369" s="51">
        <f t="shared" si="336"/>
        <v>0.34544598631227796</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-0.000170731707317073</v>
      </c>
      <c r="AT369" s="32" t="str">
        <f t="shared" si="318"/>
        <v>0.00772615586072367i</v>
      </c>
      <c r="AU369" s="32">
        <f t="shared" si="342"/>
        <v>7.7261558607236696E-3</v>
      </c>
      <c r="AV369" s="32">
        <f t="shared" si="343"/>
        <v>1.5707963267948966</v>
      </c>
      <c r="AW369" s="32" t="str">
        <f t="shared" si="319"/>
        <v>1+1.64496492923883i</v>
      </c>
      <c r="AX369" s="32">
        <f t="shared" si="344"/>
        <v>1.9250739254443472</v>
      </c>
      <c r="AY369" s="32">
        <f t="shared" si="345"/>
        <v>1.0245767820446596</v>
      </c>
      <c r="AZ369" s="32" t="str">
        <f t="shared" si="320"/>
        <v>1+31.2543336555379i</v>
      </c>
      <c r="BA369" s="32">
        <f t="shared" si="346"/>
        <v>31.270327344811868</v>
      </c>
      <c r="BB369" s="32">
        <f t="shared" si="347"/>
        <v>1.5388116752652754</v>
      </c>
      <c r="BC369" s="60" t="str">
        <f t="shared" si="348"/>
        <v>-0.176557041660184+0.312528027009016i</v>
      </c>
      <c r="BD369" s="51">
        <f t="shared" si="349"/>
        <v>-8.8992853156428993</v>
      </c>
      <c r="BE369" s="63">
        <f t="shared" si="350"/>
        <v>119.46348905990193</v>
      </c>
      <c r="BF369" s="60" t="str">
        <f t="shared" si="351"/>
        <v>0.123717617035205+0.0213867395690585i</v>
      </c>
      <c r="BG369" s="66">
        <f t="shared" si="352"/>
        <v>-18.023489635353716</v>
      </c>
      <c r="BH369" s="63">
        <f t="shared" si="353"/>
        <v>9.807643143454241</v>
      </c>
      <c r="BI369" s="60" t="e">
        <f t="shared" si="306"/>
        <v>#NUM!</v>
      </c>
      <c r="BJ369" s="66" t="e">
        <f t="shared" si="354"/>
        <v>#NUM!</v>
      </c>
      <c r="BK369" s="63" t="e">
        <f t="shared" si="307"/>
        <v>#NUM!</v>
      </c>
      <c r="BL369" s="51">
        <f t="shared" si="355"/>
        <v>-18.023489635353716</v>
      </c>
      <c r="BM369" s="63">
        <f t="shared" si="356"/>
        <v>9.807643143454241</v>
      </c>
    </row>
    <row r="370" spans="14:65" x14ac:dyDescent="0.3">
      <c r="N370" s="11">
        <v>52</v>
      </c>
      <c r="O370" s="52">
        <f t="shared" si="308"/>
        <v>33113.11214825909</v>
      </c>
      <c r="P370" s="50" t="str">
        <f t="shared" si="309"/>
        <v>23.3035714285714</v>
      </c>
      <c r="Q370" s="18" t="str">
        <f t="shared" si="310"/>
        <v>1+78.9126001956703i</v>
      </c>
      <c r="R370" s="18">
        <f t="shared" si="321"/>
        <v>78.918936065064273</v>
      </c>
      <c r="S370" s="18">
        <f t="shared" si="322"/>
        <v>1.5581247575643975</v>
      </c>
      <c r="T370" s="18" t="str">
        <f t="shared" si="311"/>
        <v>1+0.368258800913128i</v>
      </c>
      <c r="U370" s="18">
        <f t="shared" si="323"/>
        <v>1.0656521686037967</v>
      </c>
      <c r="V370" s="18">
        <f t="shared" si="324"/>
        <v>0.35284751964890304</v>
      </c>
      <c r="W370" s="32" t="str">
        <f t="shared" si="312"/>
        <v>1-0.508580892660943i</v>
      </c>
      <c r="X370" s="18">
        <f t="shared" si="325"/>
        <v>1.1218977334765416</v>
      </c>
      <c r="Y370" s="18">
        <f t="shared" si="326"/>
        <v>-0.47048873485075171</v>
      </c>
      <c r="Z370" s="32" t="str">
        <f t="shared" si="313"/>
        <v>0.995614087215427+0.249609768319493i</v>
      </c>
      <c r="AA370" s="18">
        <f t="shared" si="327"/>
        <v>1.0264270296043061</v>
      </c>
      <c r="AB370" s="18">
        <f t="shared" si="328"/>
        <v>0.24564618238689853</v>
      </c>
      <c r="AC370" s="68" t="str">
        <f t="shared" si="329"/>
        <v>-0.118135009345219-0.323014595548128i</v>
      </c>
      <c r="AD370" s="66">
        <f t="shared" si="330"/>
        <v>-9.270361469071565</v>
      </c>
      <c r="AE370" s="63">
        <f t="shared" si="331"/>
        <v>-110.08880719541094</v>
      </c>
      <c r="AF370" s="51" t="e">
        <f t="shared" si="332"/>
        <v>#NUM!</v>
      </c>
      <c r="AG370" s="51" t="str">
        <f t="shared" si="314"/>
        <v>1-110.477640273939i</v>
      </c>
      <c r="AH370" s="51">
        <f t="shared" si="333"/>
        <v>110.48216598391735</v>
      </c>
      <c r="AI370" s="51">
        <f t="shared" si="334"/>
        <v>-1.5617449686346105</v>
      </c>
      <c r="AJ370" s="51" t="str">
        <f t="shared" si="315"/>
        <v>1+0.368258800913128i</v>
      </c>
      <c r="AK370" s="51">
        <f t="shared" si="335"/>
        <v>1.0656521686037967</v>
      </c>
      <c r="AL370" s="51">
        <f t="shared" si="336"/>
        <v>0.35284751964890304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-0.000170731707317073</v>
      </c>
      <c r="AT370" s="32" t="str">
        <f t="shared" si="318"/>
        <v>0.00790612114954739i</v>
      </c>
      <c r="AU370" s="32">
        <f t="shared" si="342"/>
        <v>7.9061211495473904E-3</v>
      </c>
      <c r="AV370" s="32">
        <f t="shared" si="343"/>
        <v>1.5707963267948966</v>
      </c>
      <c r="AW370" s="32" t="str">
        <f t="shared" si="319"/>
        <v>1+1.6832810846377i</v>
      </c>
      <c r="AX370" s="32">
        <f t="shared" si="344"/>
        <v>1.9579160374998392</v>
      </c>
      <c r="AY370" s="32">
        <f t="shared" si="345"/>
        <v>1.0347427311480211</v>
      </c>
      <c r="AZ370" s="32" t="str">
        <f t="shared" si="320"/>
        <v>1+31.9823406081164i</v>
      </c>
      <c r="BA370" s="32">
        <f t="shared" si="346"/>
        <v>31.997970416474406</v>
      </c>
      <c r="BB370" s="32">
        <f t="shared" si="347"/>
        <v>1.5395392551859104</v>
      </c>
      <c r="BC370" s="60" t="str">
        <f t="shared" si="348"/>
        <v>-0.170683578321515+0.308903315030491i</v>
      </c>
      <c r="BD370" s="51">
        <f t="shared" si="349"/>
        <v>-9.0464182578183348</v>
      </c>
      <c r="BE370" s="63">
        <f t="shared" si="350"/>
        <v>118.92271034024522</v>
      </c>
      <c r="BF370" s="60" t="str">
        <f t="shared" si="351"/>
        <v>0.119943985488138+0.0186409910103352i</v>
      </c>
      <c r="BG370" s="66">
        <f t="shared" si="352"/>
        <v>-18.31677972688987</v>
      </c>
      <c r="BH370" s="63">
        <f t="shared" si="353"/>
        <v>8.8339031448342666</v>
      </c>
      <c r="BI370" s="60" t="e">
        <f t="shared" ref="BI370:BI433" si="357">IMPRODUCT(AP370,BC370)</f>
        <v>#NUM!</v>
      </c>
      <c r="BJ370" s="66" t="e">
        <f t="shared" si="354"/>
        <v>#NUM!</v>
      </c>
      <c r="BK370" s="63" t="e">
        <f t="shared" ref="BK370:BK433" si="358">(180/PI())*IMARGUMENT(BI370)</f>
        <v>#NUM!</v>
      </c>
      <c r="BL370" s="51">
        <f t="shared" si="355"/>
        <v>-18.31677972688987</v>
      </c>
      <c r="BM370" s="63">
        <f t="shared" si="356"/>
        <v>8.8339031448342666</v>
      </c>
    </row>
    <row r="371" spans="14:65" x14ac:dyDescent="0.3">
      <c r="N371" s="11">
        <v>53</v>
      </c>
      <c r="O371" s="52">
        <f t="shared" si="308"/>
        <v>33884.41561392029</v>
      </c>
      <c r="P371" s="50" t="str">
        <f t="shared" si="309"/>
        <v>23.3035714285714</v>
      </c>
      <c r="Q371" s="18" t="str">
        <f t="shared" si="310"/>
        <v>1+80.7507107828827i</v>
      </c>
      <c r="R371" s="18">
        <f t="shared" si="321"/>
        <v>80.756902441467929</v>
      </c>
      <c r="S371" s="18">
        <f t="shared" si="322"/>
        <v>1.5584131678657114</v>
      </c>
      <c r="T371" s="18" t="str">
        <f t="shared" si="311"/>
        <v>1+0.376836650320119i</v>
      </c>
      <c r="U371" s="18">
        <f t="shared" si="323"/>
        <v>1.068646742859626</v>
      </c>
      <c r="V371" s="18">
        <f t="shared" si="324"/>
        <v>0.36037991115157653</v>
      </c>
      <c r="W371" s="32" t="str">
        <f t="shared" si="312"/>
        <v>1-0.520427263467836i</v>
      </c>
      <c r="X371" s="18">
        <f t="shared" si="325"/>
        <v>1.1273174071931207</v>
      </c>
      <c r="Y371" s="18">
        <f t="shared" si="326"/>
        <v>-0.47985555517095474</v>
      </c>
      <c r="Z371" s="32" t="str">
        <f t="shared" si="313"/>
        <v>0.995407385514012+0.255423926726161i</v>
      </c>
      <c r="AA371" s="18">
        <f t="shared" si="327"/>
        <v>1.027656190308827</v>
      </c>
      <c r="AB371" s="18">
        <f t="shared" si="328"/>
        <v>0.25118297097291331</v>
      </c>
      <c r="AC371" s="68" t="str">
        <f t="shared" si="329"/>
        <v>-0.11862090812519-0.316799520794822i</v>
      </c>
      <c r="AD371" s="66">
        <f t="shared" si="330"/>
        <v>-9.4144926202506038</v>
      </c>
      <c r="AE371" s="63">
        <f t="shared" si="331"/>
        <v>-110.5276715355408</v>
      </c>
      <c r="AF371" s="51" t="e">
        <f t="shared" si="332"/>
        <v>#NUM!</v>
      </c>
      <c r="AG371" s="51" t="str">
        <f t="shared" si="314"/>
        <v>1-113.050995096036i</v>
      </c>
      <c r="AH371" s="51">
        <f t="shared" si="333"/>
        <v>113.05541779235506</v>
      </c>
      <c r="AI371" s="51">
        <f t="shared" si="334"/>
        <v>-1.561950991828752</v>
      </c>
      <c r="AJ371" s="51" t="str">
        <f t="shared" si="315"/>
        <v>1+0.376836650320119i</v>
      </c>
      <c r="AK371" s="51">
        <f t="shared" si="335"/>
        <v>1.068646742859626</v>
      </c>
      <c r="AL371" s="51">
        <f t="shared" si="336"/>
        <v>0.36037991115157653</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-0.000170731707317073</v>
      </c>
      <c r="AT371" s="32" t="str">
        <f t="shared" si="318"/>
        <v>0.00809027836845452i</v>
      </c>
      <c r="AU371" s="32">
        <f t="shared" si="342"/>
        <v>8.0902783684545197E-3</v>
      </c>
      <c r="AV371" s="32">
        <f t="shared" si="343"/>
        <v>1.5707963267948966</v>
      </c>
      <c r="AW371" s="32" t="str">
        <f t="shared" si="319"/>
        <v>1+1.72248973794852i</v>
      </c>
      <c r="AX371" s="32">
        <f t="shared" si="344"/>
        <v>1.9917256079435142</v>
      </c>
      <c r="AY371" s="32">
        <f t="shared" si="345"/>
        <v>1.0447973513994002</v>
      </c>
      <c r="AZ371" s="32" t="str">
        <f t="shared" si="320"/>
        <v>1+32.7273050210219i</v>
      </c>
      <c r="BA371" s="32">
        <f t="shared" si="346"/>
        <v>32.742579219404895</v>
      </c>
      <c r="BB371" s="32">
        <f t="shared" si="347"/>
        <v>1.5402503053549743</v>
      </c>
      <c r="BC371" s="60" t="str">
        <f t="shared" si="348"/>
        <v>-0.164938048657815+0.305207412998893i</v>
      </c>
      <c r="BD371" s="51">
        <f t="shared" si="349"/>
        <v>-9.1953180386426556</v>
      </c>
      <c r="BE371" s="63">
        <f t="shared" si="350"/>
        <v>118.38736320894388</v>
      </c>
      <c r="BF371" s="60" t="str">
        <f t="shared" si="351"/>
        <v>0.116254663297263+0.0160483142791602i</v>
      </c>
      <c r="BG371" s="66">
        <f t="shared" si="352"/>
        <v>-18.609810658893291</v>
      </c>
      <c r="BH371" s="63">
        <f t="shared" si="353"/>
        <v>7.8596916734031108</v>
      </c>
      <c r="BI371" s="60" t="e">
        <f t="shared" si="357"/>
        <v>#NUM!</v>
      </c>
      <c r="BJ371" s="66" t="e">
        <f t="shared" si="354"/>
        <v>#NUM!</v>
      </c>
      <c r="BK371" s="63" t="e">
        <f t="shared" si="358"/>
        <v>#NUM!</v>
      </c>
      <c r="BL371" s="51">
        <f t="shared" si="355"/>
        <v>-18.609810658893291</v>
      </c>
      <c r="BM371" s="63">
        <f t="shared" si="356"/>
        <v>7.8596916734031108</v>
      </c>
    </row>
    <row r="372" spans="14:65" x14ac:dyDescent="0.3">
      <c r="N372" s="11">
        <v>54</v>
      </c>
      <c r="O372" s="52">
        <f t="shared" si="308"/>
        <v>34673.685045253202</v>
      </c>
      <c r="P372" s="50" t="str">
        <f t="shared" si="309"/>
        <v>23.3035714285714</v>
      </c>
      <c r="Q372" s="18" t="str">
        <f t="shared" si="310"/>
        <v>1+82.6316364658135i</v>
      </c>
      <c r="R372" s="18">
        <f t="shared" si="321"/>
        <v>82.637687195482187</v>
      </c>
      <c r="S372" s="18">
        <f t="shared" si="322"/>
        <v>1.5586950151377987</v>
      </c>
      <c r="T372" s="18" t="str">
        <f t="shared" si="311"/>
        <v>1+0.38561430350713i</v>
      </c>
      <c r="U372" s="18">
        <f t="shared" si="323"/>
        <v>1.0717734793645946</v>
      </c>
      <c r="V372" s="18">
        <f t="shared" si="324"/>
        <v>0.36804373468262946</v>
      </c>
      <c r="W372" s="32" t="str">
        <f t="shared" si="312"/>
        <v>1-0.532549571698484i</v>
      </c>
      <c r="X372" s="18">
        <f t="shared" si="325"/>
        <v>1.1329647153888946</v>
      </c>
      <c r="Y372" s="18">
        <f t="shared" si="326"/>
        <v>-0.48934693264019336</v>
      </c>
      <c r="Z372" s="32" t="str">
        <f t="shared" si="313"/>
        <v>0.99519094226153+0.261373514279712i</v>
      </c>
      <c r="AA372" s="18">
        <f t="shared" si="327"/>
        <v>1.0289417503077221</v>
      </c>
      <c r="AB372" s="18">
        <f t="shared" si="328"/>
        <v>0.25683607225047217</v>
      </c>
      <c r="AC372" s="68" t="str">
        <f t="shared" si="329"/>
        <v>-0.119112489542201-0.310745487288409i</v>
      </c>
      <c r="AD372" s="66">
        <f t="shared" si="330"/>
        <v>-9.5565413565524722</v>
      </c>
      <c r="AE372" s="63">
        <f t="shared" si="331"/>
        <v>-110.9724301665532</v>
      </c>
      <c r="AF372" s="51" t="e">
        <f t="shared" si="332"/>
        <v>#NUM!</v>
      </c>
      <c r="AG372" s="51" t="str">
        <f t="shared" si="314"/>
        <v>1-115.684291052139i</v>
      </c>
      <c r="AH372" s="51">
        <f t="shared" si="333"/>
        <v>115.68861307940382</v>
      </c>
      <c r="AI372" s="51">
        <f t="shared" si="334"/>
        <v>-1.5621523260880432</v>
      </c>
      <c r="AJ372" s="51" t="str">
        <f t="shared" si="315"/>
        <v>1+0.38561430350713i</v>
      </c>
      <c r="AK372" s="51">
        <f t="shared" si="335"/>
        <v>1.0717734793645946</v>
      </c>
      <c r="AL372" s="51">
        <f t="shared" si="336"/>
        <v>0.36804373468262946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-0.000170731707317073</v>
      </c>
      <c r="AT372" s="32" t="str">
        <f t="shared" si="318"/>
        <v>0.00827872516004008i</v>
      </c>
      <c r="AU372" s="32">
        <f t="shared" si="342"/>
        <v>8.2787251600400808E-3</v>
      </c>
      <c r="AV372" s="32">
        <f t="shared" si="343"/>
        <v>1.5707963267948966</v>
      </c>
      <c r="AW372" s="32" t="str">
        <f t="shared" si="319"/>
        <v>1+1.76261167811822i</v>
      </c>
      <c r="AX372" s="32">
        <f t="shared" si="344"/>
        <v>2.0265240999896172</v>
      </c>
      <c r="AY372" s="32">
        <f t="shared" si="345"/>
        <v>1.0547378415257675</v>
      </c>
      <c r="AZ372" s="32" t="str">
        <f t="shared" si="320"/>
        <v>1+33.4896218842463i</v>
      </c>
      <c r="BA372" s="32">
        <f t="shared" si="346"/>
        <v>33.504548556125755</v>
      </c>
      <c r="BB372" s="32">
        <f t="shared" si="347"/>
        <v>1.5409451999030208</v>
      </c>
      <c r="BC372" s="60" t="str">
        <f t="shared" si="348"/>
        <v>-0.159322209600213+0.30144613387633i</v>
      </c>
      <c r="BD372" s="51">
        <f t="shared" si="349"/>
        <v>-9.3459456791776248</v>
      </c>
      <c r="BE372" s="63">
        <f t="shared" si="350"/>
        <v>117.85762960322128</v>
      </c>
      <c r="BF372" s="60" t="str">
        <f t="shared" si="351"/>
        <v>0.112650290787453+0.0136026581892029i</v>
      </c>
      <c r="BG372" s="66">
        <f t="shared" si="352"/>
        <v>-18.902487035730086</v>
      </c>
      <c r="BH372" s="63">
        <f t="shared" si="353"/>
        <v>6.8851994366680644</v>
      </c>
      <c r="BI372" s="60" t="e">
        <f t="shared" si="357"/>
        <v>#NUM!</v>
      </c>
      <c r="BJ372" s="66" t="e">
        <f t="shared" si="354"/>
        <v>#NUM!</v>
      </c>
      <c r="BK372" s="63" t="e">
        <f t="shared" si="358"/>
        <v>#NUM!</v>
      </c>
      <c r="BL372" s="51">
        <f t="shared" si="355"/>
        <v>-18.902487035730086</v>
      </c>
      <c r="BM372" s="63">
        <f t="shared" si="356"/>
        <v>6.8851994366680644</v>
      </c>
    </row>
    <row r="373" spans="14:65" x14ac:dyDescent="0.3">
      <c r="N373" s="11">
        <v>55</v>
      </c>
      <c r="O373" s="52">
        <f t="shared" si="308"/>
        <v>35481.33892335758</v>
      </c>
      <c r="P373" s="50" t="str">
        <f t="shared" si="309"/>
        <v>23.3035714285714</v>
      </c>
      <c r="Q373" s="18" t="str">
        <f t="shared" si="310"/>
        <v>1+84.5563745361581i</v>
      </c>
      <c r="R373" s="18">
        <f t="shared" si="321"/>
        <v>84.562287544147267</v>
      </c>
      <c r="S373" s="18">
        <f t="shared" si="322"/>
        <v>1.5589704486405962</v>
      </c>
      <c r="T373" s="18" t="str">
        <f t="shared" si="311"/>
        <v>1+0.394596414502071i</v>
      </c>
      <c r="U373" s="18">
        <f t="shared" si="323"/>
        <v>1.0750378273985945</v>
      </c>
      <c r="V373" s="18">
        <f t="shared" si="324"/>
        <v>0.37583945166429428</v>
      </c>
      <c r="W373" s="32" t="str">
        <f t="shared" si="312"/>
        <v>1-0.544954244761178i</v>
      </c>
      <c r="X373" s="18">
        <f t="shared" si="325"/>
        <v>1.1388481588355956</v>
      </c>
      <c r="Y373" s="18">
        <f t="shared" si="326"/>
        <v>-0.49896105852449912</v>
      </c>
      <c r="Z373" s="32" t="str">
        <f t="shared" si="313"/>
        <v>0.994964298352823+0.267461685530224i</v>
      </c>
      <c r="AA373" s="18">
        <f t="shared" si="327"/>
        <v>1.0302862263581871</v>
      </c>
      <c r="AB373" s="18">
        <f t="shared" si="328"/>
        <v>0.26260735752149089</v>
      </c>
      <c r="AC373" s="68" t="str">
        <f t="shared" si="329"/>
        <v>-0.11961057870812-0.304848869239434i</v>
      </c>
      <c r="AD373" s="66">
        <f t="shared" si="330"/>
        <v>-9.6964512392861728</v>
      </c>
      <c r="AE373" s="63">
        <f t="shared" si="331"/>
        <v>-111.42306878774582</v>
      </c>
      <c r="AF373" s="51" t="e">
        <f t="shared" si="332"/>
        <v>#NUM!</v>
      </c>
      <c r="AG373" s="51" t="str">
        <f t="shared" si="314"/>
        <v>1-118.378924350622i</v>
      </c>
      <c r="AH373" s="51">
        <f t="shared" si="333"/>
        <v>118.38314800008608</v>
      </c>
      <c r="AI373" s="51">
        <f t="shared" si="334"/>
        <v>-1.5623490780972467</v>
      </c>
      <c r="AJ373" s="51" t="str">
        <f t="shared" si="315"/>
        <v>1+0.394596414502071i</v>
      </c>
      <c r="AK373" s="51">
        <f t="shared" si="335"/>
        <v>1.0750378273985945</v>
      </c>
      <c r="AL373" s="51">
        <f t="shared" si="336"/>
        <v>0.37583945166429428</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-0.000170731707317073</v>
      </c>
      <c r="AT373" s="32" t="str">
        <f t="shared" si="318"/>
        <v>0.00847156144128738i</v>
      </c>
      <c r="AU373" s="32">
        <f t="shared" si="342"/>
        <v>8.4715614412873806E-3</v>
      </c>
      <c r="AV373" s="32">
        <f t="shared" si="343"/>
        <v>1.5707963267948966</v>
      </c>
      <c r="AW373" s="32" t="str">
        <f t="shared" si="319"/>
        <v>1+1.80366817833061i</v>
      </c>
      <c r="AX373" s="32">
        <f t="shared" si="344"/>
        <v>2.0623333623646936</v>
      </c>
      <c r="AY373" s="32">
        <f t="shared" si="345"/>
        <v>1.06456161345138</v>
      </c>
      <c r="AZ373" s="32" t="str">
        <f t="shared" si="320"/>
        <v>1+34.2696953882816i</v>
      </c>
      <c r="BA373" s="32">
        <f t="shared" si="346"/>
        <v>34.284282433873528</v>
      </c>
      <c r="BB373" s="32">
        <f t="shared" si="347"/>
        <v>1.5416243045864058</v>
      </c>
      <c r="BC373" s="60" t="str">
        <f t="shared" si="348"/>
        <v>-0.153837471019986+0.297625262187135i</v>
      </c>
      <c r="BD373" s="51">
        <f t="shared" si="349"/>
        <v>-9.4982616986361847</v>
      </c>
      <c r="BE373" s="63">
        <f t="shared" si="350"/>
        <v>117.3336787651902</v>
      </c>
      <c r="BF373" s="60" t="str">
        <f t="shared" si="351"/>
        <v>0.109131313570532+0.0112980492387378i</v>
      </c>
      <c r="BG373" s="66">
        <f t="shared" si="352"/>
        <v>-19.194712937922382</v>
      </c>
      <c r="BH373" s="63">
        <f t="shared" si="353"/>
        <v>5.910609977444417</v>
      </c>
      <c r="BI373" s="60" t="e">
        <f t="shared" si="357"/>
        <v>#NUM!</v>
      </c>
      <c r="BJ373" s="66" t="e">
        <f t="shared" si="354"/>
        <v>#NUM!</v>
      </c>
      <c r="BK373" s="63" t="e">
        <f t="shared" si="358"/>
        <v>#NUM!</v>
      </c>
      <c r="BL373" s="51">
        <f t="shared" si="355"/>
        <v>-19.194712937922382</v>
      </c>
      <c r="BM373" s="63">
        <f t="shared" si="356"/>
        <v>5.910609977444417</v>
      </c>
    </row>
    <row r="374" spans="14:65" x14ac:dyDescent="0.3">
      <c r="N374" s="11">
        <v>56</v>
      </c>
      <c r="O374" s="52">
        <f t="shared" si="308"/>
        <v>36307.805477010232</v>
      </c>
      <c r="P374" s="50" t="str">
        <f t="shared" si="309"/>
        <v>23.3035714285714</v>
      </c>
      <c r="Q374" s="18" t="str">
        <f t="shared" si="310"/>
        <v>1+86.5259455155173i</v>
      </c>
      <c r="R374" s="18">
        <f t="shared" si="321"/>
        <v>86.531723936104896</v>
      </c>
      <c r="S374" s="18">
        <f t="shared" si="322"/>
        <v>1.559239614245334</v>
      </c>
      <c r="T374" s="18" t="str">
        <f t="shared" si="311"/>
        <v>1+0.403787745739081i</v>
      </c>
      <c r="U374" s="18">
        <f t="shared" si="323"/>
        <v>1.0784454291289145</v>
      </c>
      <c r="V374" s="18">
        <f t="shared" si="324"/>
        <v>0.38376740429828504</v>
      </c>
      <c r="W374" s="32" t="str">
        <f t="shared" si="312"/>
        <v>1-0.557647859777763i</v>
      </c>
      <c r="X374" s="18">
        <f t="shared" si="325"/>
        <v>1.1449764781491014</v>
      </c>
      <c r="Y374" s="18">
        <f t="shared" si="326"/>
        <v>-0.50869592038512257</v>
      </c>
      <c r="Z374" s="32" t="str">
        <f t="shared" si="313"/>
        <v>0.994726973045774+0.273691668506677i</v>
      </c>
      <c r="AA374" s="18">
        <f t="shared" si="327"/>
        <v>1.0316922410848968</v>
      </c>
      <c r="AB374" s="18">
        <f t="shared" si="328"/>
        <v>0.26849868936758131</v>
      </c>
      <c r="AC374" s="68" t="str">
        <f t="shared" si="329"/>
        <v>-0.120115996010652-0.299106098782757i</v>
      </c>
      <c r="AD374" s="66">
        <f t="shared" si="330"/>
        <v>-9.8341659382029007</v>
      </c>
      <c r="AE374" s="63">
        <f t="shared" si="331"/>
        <v>-111.87956756402876</v>
      </c>
      <c r="AF374" s="51" t="e">
        <f t="shared" si="332"/>
        <v>#NUM!</v>
      </c>
      <c r="AG374" s="51" t="str">
        <f t="shared" si="314"/>
        <v>1-121.136323721724i</v>
      </c>
      <c r="AH374" s="51">
        <f t="shared" si="333"/>
        <v>121.14045123250247</v>
      </c>
      <c r="AI374" s="51">
        <f t="shared" si="334"/>
        <v>-1.5625413521159144</v>
      </c>
      <c r="AJ374" s="51" t="str">
        <f t="shared" si="315"/>
        <v>1+0.403787745739081i</v>
      </c>
      <c r="AK374" s="51">
        <f t="shared" si="335"/>
        <v>1.0784454291289145</v>
      </c>
      <c r="AL374" s="51">
        <f t="shared" si="336"/>
        <v>0.38376740429828504</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-0.000170731707317073</v>
      </c>
      <c r="AT374" s="32" t="str">
        <f t="shared" si="318"/>
        <v>0.00866888945654524i</v>
      </c>
      <c r="AU374" s="32">
        <f t="shared" si="342"/>
        <v>8.6688894565452399E-3</v>
      </c>
      <c r="AV374" s="32">
        <f t="shared" si="343"/>
        <v>1.5707963267948966</v>
      </c>
      <c r="AW374" s="32" t="str">
        <f t="shared" si="319"/>
        <v>1+1.8456810072855i</v>
      </c>
      <c r="AX374" s="32">
        <f t="shared" si="344"/>
        <v>2.0991756431167019</v>
      </c>
      <c r="AY374" s="32">
        <f t="shared" si="345"/>
        <v>1.0742662907116267</v>
      </c>
      <c r="AZ374" s="32" t="str">
        <f t="shared" si="320"/>
        <v>1+35.0679391384246i</v>
      </c>
      <c r="BA374" s="32">
        <f t="shared" si="346"/>
        <v>35.082194278811173</v>
      </c>
      <c r="BB374" s="32">
        <f t="shared" si="347"/>
        <v>1.5422879769684537</v>
      </c>
      <c r="BC374" s="60" t="str">
        <f t="shared" si="348"/>
        <v>-0.148484906374988+0.29375053271888i</v>
      </c>
      <c r="BD374" s="51">
        <f t="shared" si="349"/>
        <v>-9.6522262196842163</v>
      </c>
      <c r="BE374" s="63">
        <f t="shared" si="350"/>
        <v>116.81566734311208</v>
      </c>
      <c r="BF374" s="60" t="str">
        <f t="shared" si="351"/>
        <v>0.105697988278681+0.0091286032577577i</v>
      </c>
      <c r="BG374" s="66">
        <f t="shared" si="352"/>
        <v>-19.48639215788711</v>
      </c>
      <c r="BH374" s="63">
        <f t="shared" si="353"/>
        <v>4.9360997790833183</v>
      </c>
      <c r="BI374" s="60" t="e">
        <f t="shared" si="357"/>
        <v>#NUM!</v>
      </c>
      <c r="BJ374" s="66" t="e">
        <f t="shared" si="354"/>
        <v>#NUM!</v>
      </c>
      <c r="BK374" s="63" t="e">
        <f t="shared" si="358"/>
        <v>#NUM!</v>
      </c>
      <c r="BL374" s="51">
        <f t="shared" si="355"/>
        <v>-19.48639215788711</v>
      </c>
      <c r="BM374" s="63">
        <f t="shared" si="356"/>
        <v>4.9360997790833183</v>
      </c>
    </row>
    <row r="375" spans="14:65" x14ac:dyDescent="0.3">
      <c r="N375" s="11">
        <v>57</v>
      </c>
      <c r="O375" s="52">
        <f t="shared" si="308"/>
        <v>37153.522909717351</v>
      </c>
      <c r="P375" s="50" t="str">
        <f t="shared" si="309"/>
        <v>23.3035714285714</v>
      </c>
      <c r="Q375" s="18" t="str">
        <f t="shared" si="310"/>
        <v>1+88.5413936964951i</v>
      </c>
      <c r="R375" s="18">
        <f t="shared" si="321"/>
        <v>88.547040592657552</v>
      </c>
      <c r="S375" s="18">
        <f t="shared" si="322"/>
        <v>1.5595026545110802</v>
      </c>
      <c r="T375" s="18" t="str">
        <f t="shared" si="311"/>
        <v>1+0.413193170583644i</v>
      </c>
      <c r="U375" s="18">
        <f t="shared" si="323"/>
        <v>1.0820021239429081</v>
      </c>
      <c r="V375" s="18">
        <f t="shared" si="324"/>
        <v>0.39182780872445927</v>
      </c>
      <c r="W375" s="32" t="str">
        <f t="shared" si="312"/>
        <v>1-0.570637147070946i</v>
      </c>
      <c r="X375" s="18">
        <f t="shared" si="325"/>
        <v>1.1513586555097715</v>
      </c>
      <c r="Y375" s="18">
        <f t="shared" si="326"/>
        <v>-0.51854929864217358</v>
      </c>
      <c r="Z375" s="32" t="str">
        <f t="shared" si="313"/>
        <v>0.994478462941588+0.28006676642851i</v>
      </c>
      <c r="AA375" s="18">
        <f t="shared" si="327"/>
        <v>1.0331625268622477</v>
      </c>
      <c r="AB375" s="18">
        <f t="shared" si="328"/>
        <v>0.27451191854286078</v>
      </c>
      <c r="AC375" s="68" t="str">
        <f t="shared" si="329"/>
        <v>-0.120629557382114-0.293513663003131i</v>
      </c>
      <c r="AD375" s="66">
        <f t="shared" si="330"/>
        <v>-9.9696293697684872</v>
      </c>
      <c r="AE375" s="63">
        <f t="shared" si="331"/>
        <v>-112.34190114737305</v>
      </c>
      <c r="AF375" s="51" t="e">
        <f t="shared" si="332"/>
        <v>#NUM!</v>
      </c>
      <c r="AG375" s="51" t="str">
        <f t="shared" si="314"/>
        <v>1-123.957951175093i</v>
      </c>
      <c r="AH375" s="51">
        <f t="shared" si="333"/>
        <v>123.96198473534835</v>
      </c>
      <c r="AI375" s="51">
        <f t="shared" si="334"/>
        <v>-1.562729250033378</v>
      </c>
      <c r="AJ375" s="51" t="str">
        <f t="shared" si="315"/>
        <v>1+0.413193170583644i</v>
      </c>
      <c r="AK375" s="51">
        <f t="shared" si="335"/>
        <v>1.0820021239429081</v>
      </c>
      <c r="AL375" s="51">
        <f t="shared" si="336"/>
        <v>0.39182780872445927</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-0.000170731707317073</v>
      </c>
      <c r="AT375" s="32" t="str">
        <f t="shared" si="318"/>
        <v>0.00887081383173926i</v>
      </c>
      <c r="AU375" s="32">
        <f t="shared" si="342"/>
        <v>8.8708138317392608E-3</v>
      </c>
      <c r="AV375" s="32">
        <f t="shared" si="343"/>
        <v>1.5707963267948966</v>
      </c>
      <c r="AW375" s="32" t="str">
        <f t="shared" si="319"/>
        <v>1+1.88867244074094i</v>
      </c>
      <c r="AX375" s="32">
        <f t="shared" si="344"/>
        <v>2.1370736038832026</v>
      </c>
      <c r="AY375" s="32">
        <f t="shared" si="345"/>
        <v>1.0838497061476107</v>
      </c>
      <c r="AZ375" s="32" t="str">
        <f t="shared" si="320"/>
        <v>1+35.8847763740778i</v>
      </c>
      <c r="BA375" s="32">
        <f t="shared" si="346"/>
        <v>35.898707155238505</v>
      </c>
      <c r="BB375" s="32">
        <f t="shared" si="347"/>
        <v>1.5429365665971335</v>
      </c>
      <c r="BC375" s="60" t="str">
        <f t="shared" si="348"/>
        <v>-0.143265264631697+0.289827610682866i</v>
      </c>
      <c r="BD375" s="51">
        <f t="shared" si="349"/>
        <v>-9.8077990702527789</v>
      </c>
      <c r="BE375" s="63">
        <f t="shared" si="350"/>
        <v>116.30373953366903</v>
      </c>
      <c r="BF375" s="60" t="str">
        <f t="shared" si="351"/>
        <v>0.102350389111726+0.0070885362093725i</v>
      </c>
      <c r="BG375" s="66">
        <f t="shared" si="352"/>
        <v>-19.7774284400213</v>
      </c>
      <c r="BH375" s="63">
        <f t="shared" si="353"/>
        <v>3.9618383862959945</v>
      </c>
      <c r="BI375" s="60" t="e">
        <f t="shared" si="357"/>
        <v>#NUM!</v>
      </c>
      <c r="BJ375" s="66" t="e">
        <f t="shared" si="354"/>
        <v>#NUM!</v>
      </c>
      <c r="BK375" s="63" t="e">
        <f t="shared" si="358"/>
        <v>#NUM!</v>
      </c>
      <c r="BL375" s="51">
        <f t="shared" si="355"/>
        <v>-19.7774284400213</v>
      </c>
      <c r="BM375" s="63">
        <f t="shared" si="356"/>
        <v>3.9618383862959945</v>
      </c>
    </row>
    <row r="376" spans="14:65" x14ac:dyDescent="0.3">
      <c r="N376" s="11">
        <v>58</v>
      </c>
      <c r="O376" s="52">
        <f t="shared" si="308"/>
        <v>38018.939632056143</v>
      </c>
      <c r="P376" s="50" t="str">
        <f t="shared" si="309"/>
        <v>23.3035714285714</v>
      </c>
      <c r="Q376" s="18" t="str">
        <f t="shared" si="310"/>
        <v>1+90.6037876963948i</v>
      </c>
      <c r="R376" s="18">
        <f t="shared" si="321"/>
        <v>90.609306061427176</v>
      </c>
      <c r="S376" s="18">
        <f t="shared" si="322"/>
        <v>1.5597597087595834</v>
      </c>
      <c r="T376" s="18" t="str">
        <f t="shared" si="311"/>
        <v>1+0.422817675916509i</v>
      </c>
      <c r="U376" s="18">
        <f t="shared" si="323"/>
        <v>1.0857139526907804</v>
      </c>
      <c r="V376" s="18">
        <f t="shared" si="324"/>
        <v>0.40002074814728572</v>
      </c>
      <c r="W376" s="32" t="str">
        <f t="shared" si="312"/>
        <v>1-0.583928993732781i</v>
      </c>
      <c r="X376" s="18">
        <f t="shared" si="325"/>
        <v>1.1580039161081357</v>
      </c>
      <c r="Y376" s="18">
        <f t="shared" si="326"/>
        <v>-0.52851876376494833</v>
      </c>
      <c r="Z376" s="32" t="str">
        <f t="shared" si="313"/>
        <v>0.994218240917016+0.286590359457025i</v>
      </c>
      <c r="AA376" s="18">
        <f t="shared" si="327"/>
        <v>1.0346999297892276</v>
      </c>
      <c r="AB376" s="18">
        <f t="shared" si="328"/>
        <v>0.28064888067400362</v>
      </c>
      <c r="AC376" s="68" t="str">
        <f t="shared" si="329"/>
        <v>-0.121152074458272-0.288068100966303i</v>
      </c>
      <c r="AD376" s="66">
        <f t="shared" si="330"/>
        <v>-10.102785843076639</v>
      </c>
      <c r="AE376" s="63">
        <f t="shared" si="331"/>
        <v>-112.81003872486794</v>
      </c>
      <c r="AF376" s="51" t="e">
        <f t="shared" si="332"/>
        <v>#NUM!</v>
      </c>
      <c r="AG376" s="51" t="str">
        <f t="shared" si="314"/>
        <v>1-126.845302774953i</v>
      </c>
      <c r="AH376" s="51">
        <f t="shared" si="333"/>
        <v>126.8492445230538</v>
      </c>
      <c r="AI376" s="51">
        <f t="shared" si="334"/>
        <v>-1.5629128714224989</v>
      </c>
      <c r="AJ376" s="51" t="str">
        <f t="shared" si="315"/>
        <v>1+0.422817675916509i</v>
      </c>
      <c r="AK376" s="51">
        <f t="shared" si="335"/>
        <v>1.0857139526907804</v>
      </c>
      <c r="AL376" s="51">
        <f t="shared" si="336"/>
        <v>0.40002074814728572</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-0.000170731707317073</v>
      </c>
      <c r="AT376" s="32" t="str">
        <f t="shared" si="318"/>
        <v>0.00907744162984595i</v>
      </c>
      <c r="AU376" s="32">
        <f t="shared" si="342"/>
        <v>9.07744162984595E-3</v>
      </c>
      <c r="AV376" s="32">
        <f t="shared" si="343"/>
        <v>1.5707963267948966</v>
      </c>
      <c r="AW376" s="32" t="str">
        <f t="shared" si="319"/>
        <v>1+1.93266527332399i</v>
      </c>
      <c r="AX376" s="32">
        <f t="shared" si="344"/>
        <v>2.1760503345999358</v>
      </c>
      <c r="AY376" s="32">
        <f t="shared" si="345"/>
        <v>1.0933098989336214</v>
      </c>
      <c r="AZ376" s="32" t="str">
        <f t="shared" si="320"/>
        <v>1+36.7206401931558i</v>
      </c>
      <c r="BA376" s="32">
        <f t="shared" si="346"/>
        <v>36.734253989909874</v>
      </c>
      <c r="BB376" s="32">
        <f t="shared" si="347"/>
        <v>1.5435704151792724</v>
      </c>
      <c r="BC376" s="60" t="str">
        <f t="shared" si="348"/>
        <v>-0.138178983289269+0.285862073391918i</v>
      </c>
      <c r="BD376" s="51">
        <f t="shared" si="349"/>
        <v>-9.9649398814989212</v>
      </c>
      <c r="BE376" s="63">
        <f t="shared" si="350"/>
        <v>115.79802726225741</v>
      </c>
      <c r="BF376" s="60" t="str">
        <f t="shared" si="351"/>
        <v>0.0990884150923296+0.00517217410922057i</v>
      </c>
      <c r="BG376" s="66">
        <f t="shared" si="352"/>
        <v>-20.06772572457556</v>
      </c>
      <c r="BH376" s="63">
        <f t="shared" si="353"/>
        <v>2.9879885373894761</v>
      </c>
      <c r="BI376" s="60" t="e">
        <f t="shared" si="357"/>
        <v>#NUM!</v>
      </c>
      <c r="BJ376" s="66" t="e">
        <f t="shared" si="354"/>
        <v>#NUM!</v>
      </c>
      <c r="BK376" s="63" t="e">
        <f t="shared" si="358"/>
        <v>#NUM!</v>
      </c>
      <c r="BL376" s="51">
        <f t="shared" si="355"/>
        <v>-20.06772572457556</v>
      </c>
      <c r="BM376" s="63">
        <f t="shared" si="356"/>
        <v>2.9879885373894761</v>
      </c>
    </row>
    <row r="377" spans="14:65" x14ac:dyDescent="0.3">
      <c r="N377" s="11">
        <v>59</v>
      </c>
      <c r="O377" s="52">
        <f t="shared" si="308"/>
        <v>38904.514499428085</v>
      </c>
      <c r="P377" s="50" t="str">
        <f t="shared" si="309"/>
        <v>23.3035714285714</v>
      </c>
      <c r="Q377" s="18" t="str">
        <f t="shared" si="310"/>
        <v>1+92.714221023814i</v>
      </c>
      <c r="R377" s="18">
        <f t="shared" si="321"/>
        <v>92.71961378291347</v>
      </c>
      <c r="S377" s="18">
        <f t="shared" si="322"/>
        <v>1.5600109131484476</v>
      </c>
      <c r="T377" s="18" t="str">
        <f t="shared" si="311"/>
        <v>1+0.432666364777799i</v>
      </c>
      <c r="U377" s="18">
        <f t="shared" si="323"/>
        <v>1.0895871618232456</v>
      </c>
      <c r="V377" s="18">
        <f t="shared" si="324"/>
        <v>0.40834616596180967</v>
      </c>
      <c r="W377" s="32" t="str">
        <f t="shared" si="312"/>
        <v>1-0.597530447276307i</v>
      </c>
      <c r="X377" s="18">
        <f t="shared" si="325"/>
        <v>1.1649217293115548</v>
      </c>
      <c r="Y377" s="18">
        <f t="shared" si="326"/>
        <v>-0.53860167414266791</v>
      </c>
      <c r="Z377" s="32" t="str">
        <f t="shared" si="313"/>
        <v>0.993945755006255+0.293265906487596i</v>
      </c>
      <c r="AA377" s="18">
        <f t="shared" si="327"/>
        <v>1.0363074137546957</v>
      </c>
      <c r="AB377" s="18">
        <f t="shared" si="328"/>
        <v>0.286911392762844</v>
      </c>
      <c r="AC377" s="68" t="str">
        <f t="shared" si="329"/>
        <v>-0.121684354622782-0.282766000758154i</v>
      </c>
      <c r="AD377" s="66">
        <f t="shared" si="330"/>
        <v>-10.233580213138215</v>
      </c>
      <c r="AE377" s="63">
        <f t="shared" si="331"/>
        <v>-113.28394409438189</v>
      </c>
      <c r="AF377" s="51" t="e">
        <f t="shared" si="332"/>
        <v>#NUM!</v>
      </c>
      <c r="AG377" s="51" t="str">
        <f t="shared" si="314"/>
        <v>1-129.79990943334i</v>
      </c>
      <c r="AH377" s="51">
        <f t="shared" si="333"/>
        <v>129.80376145899342</v>
      </c>
      <c r="AI377" s="51">
        <f t="shared" si="334"/>
        <v>-1.5630923135922106</v>
      </c>
      <c r="AJ377" s="51" t="str">
        <f t="shared" si="315"/>
        <v>1+0.432666364777799i</v>
      </c>
      <c r="AK377" s="51">
        <f t="shared" si="335"/>
        <v>1.0895871618232456</v>
      </c>
      <c r="AL377" s="51">
        <f t="shared" si="336"/>
        <v>0.40834616596180967</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-0.000170731707317073</v>
      </c>
      <c r="AT377" s="32" t="str">
        <f t="shared" si="318"/>
        <v>0.00928888240765894i</v>
      </c>
      <c r="AU377" s="32">
        <f t="shared" si="342"/>
        <v>9.2888824076589396E-3</v>
      </c>
      <c r="AV377" s="32">
        <f t="shared" si="343"/>
        <v>1.5707963267948966</v>
      </c>
      <c r="AW377" s="32" t="str">
        <f t="shared" si="319"/>
        <v>1+1.9776828306168i</v>
      </c>
      <c r="AX377" s="32">
        <f t="shared" si="344"/>
        <v>2.2161293686327248</v>
      </c>
      <c r="AY377" s="32">
        <f t="shared" si="345"/>
        <v>1.1026451109916473</v>
      </c>
      <c r="AZ377" s="32" t="str">
        <f t="shared" si="320"/>
        <v>1+37.5759737817193i</v>
      </c>
      <c r="BA377" s="32">
        <f t="shared" si="346"/>
        <v>37.589277801581346</v>
      </c>
      <c r="BB377" s="32">
        <f t="shared" si="347"/>
        <v>1.5441898567513519</v>
      </c>
      <c r="BC377" s="60" t="str">
        <f t="shared" si="348"/>
        <v>-0.133226202333663+0.281859393493703i</v>
      </c>
      <c r="BD377" s="51">
        <f t="shared" si="349"/>
        <v>-10.123608181606524</v>
      </c>
      <c r="BE377" s="63">
        <f t="shared" si="350"/>
        <v>115.29865039820808</v>
      </c>
      <c r="BF377" s="60" t="str">
        <f t="shared" si="351"/>
        <v>0.0959117979241492+0.00337396203843653i</v>
      </c>
      <c r="BG377" s="66">
        <f t="shared" si="352"/>
        <v>-20.357188394744735</v>
      </c>
      <c r="BH377" s="63">
        <f t="shared" si="353"/>
        <v>2.0147063038261961</v>
      </c>
      <c r="BI377" s="60" t="e">
        <f t="shared" si="357"/>
        <v>#NUM!</v>
      </c>
      <c r="BJ377" s="66" t="e">
        <f t="shared" si="354"/>
        <v>#NUM!</v>
      </c>
      <c r="BK377" s="63" t="e">
        <f t="shared" si="358"/>
        <v>#NUM!</v>
      </c>
      <c r="BL377" s="51">
        <f t="shared" si="355"/>
        <v>-20.357188394744735</v>
      </c>
      <c r="BM377" s="63">
        <f t="shared" si="356"/>
        <v>2.0147063038261961</v>
      </c>
    </row>
    <row r="378" spans="14:65" x14ac:dyDescent="0.3">
      <c r="N378" s="11">
        <v>60</v>
      </c>
      <c r="O378" s="52">
        <f t="shared" si="308"/>
        <v>39810.717055349742</v>
      </c>
      <c r="P378" s="50" t="str">
        <f t="shared" si="309"/>
        <v>23.3035714285714</v>
      </c>
      <c r="Q378" s="18" t="str">
        <f t="shared" si="310"/>
        <v>1+94.8738126584376i</v>
      </c>
      <c r="R378" s="18">
        <f t="shared" si="321"/>
        <v>94.879082670250952</v>
      </c>
      <c r="S378" s="18">
        <f t="shared" si="322"/>
        <v>1.5602564007426776</v>
      </c>
      <c r="T378" s="18" t="str">
        <f t="shared" si="311"/>
        <v>1+0.442744459072709i</v>
      </c>
      <c r="U378" s="18">
        <f t="shared" si="323"/>
        <v>1.093628207408526</v>
      </c>
      <c r="V378" s="18">
        <f t="shared" si="324"/>
        <v>0.41680385891372479</v>
      </c>
      <c r="W378" s="32" t="str">
        <f t="shared" si="312"/>
        <v>1-0.611448719372228i</v>
      </c>
      <c r="X378" s="18">
        <f t="shared" si="325"/>
        <v>1.1721218095496464</v>
      </c>
      <c r="Y378" s="18">
        <f t="shared" si="326"/>
        <v>-0.54879517468738515</v>
      </c>
      <c r="Z378" s="32" t="str">
        <f t="shared" si="313"/>
        <v>0.993660427230156+0.300096946983619i</v>
      </c>
      <c r="AA378" s="18">
        <f t="shared" si="327"/>
        <v>1.0379880645903909</v>
      </c>
      <c r="AB378" s="18">
        <f t="shared" si="328"/>
        <v>0.29330124948736264</v>
      </c>
      <c r="AC378" s="68" t="str">
        <f t="shared" si="329"/>
        <v>-0.122227200932576-0.277603996534969i</v>
      </c>
      <c r="AD378" s="66">
        <f t="shared" si="330"/>
        <v>-10.361958041206575</v>
      </c>
      <c r="AE378" s="63">
        <f t="shared" si="331"/>
        <v>-113.76357576857653</v>
      </c>
      <c r="AF378" s="51" t="e">
        <f t="shared" si="332"/>
        <v>#NUM!</v>
      </c>
      <c r="AG378" s="51" t="str">
        <f t="shared" si="314"/>
        <v>1-132.823337721813i</v>
      </c>
      <c r="AH378" s="51">
        <f t="shared" si="333"/>
        <v>132.8271020671715</v>
      </c>
      <c r="AI378" s="51">
        <f t="shared" si="334"/>
        <v>-1.5632676716388765</v>
      </c>
      <c r="AJ378" s="51" t="str">
        <f t="shared" si="315"/>
        <v>1+0.442744459072709i</v>
      </c>
      <c r="AK378" s="51">
        <f t="shared" si="335"/>
        <v>1.093628207408526</v>
      </c>
      <c r="AL378" s="51">
        <f t="shared" si="336"/>
        <v>0.41680385891372479</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-0.000170731707317073</v>
      </c>
      <c r="AT378" s="32" t="str">
        <f t="shared" si="318"/>
        <v>0.00950524827387738i</v>
      </c>
      <c r="AU378" s="32">
        <f t="shared" si="342"/>
        <v>9.50524827387738E-3</v>
      </c>
      <c r="AV378" s="32">
        <f t="shared" si="343"/>
        <v>1.5707963267948966</v>
      </c>
      <c r="AW378" s="32" t="str">
        <f t="shared" si="319"/>
        <v>1+2.02374898152414i</v>
      </c>
      <c r="AX378" s="32">
        <f t="shared" si="344"/>
        <v>2.2573346983156917</v>
      </c>
      <c r="AY378" s="32">
        <f t="shared" si="345"/>
        <v>1.111853782847898</v>
      </c>
      <c r="AZ378" s="32" t="str">
        <f t="shared" si="320"/>
        <v>1+38.4512306489587i</v>
      </c>
      <c r="BA378" s="32">
        <f t="shared" si="346"/>
        <v>38.464231935909247</v>
      </c>
      <c r="BB378" s="32">
        <f t="shared" si="347"/>
        <v>1.5447952178469271</v>
      </c>
      <c r="BC378" s="60" t="str">
        <f t="shared" si="348"/>
        <v>-0.128406778953721+0.27782492377936i</v>
      </c>
      <c r="BD378" s="51">
        <f t="shared" si="349"/>
        <v>-10.283763485169287</v>
      </c>
      <c r="BE378" s="63">
        <f t="shared" si="350"/>
        <v>114.80571700178187</v>
      </c>
      <c r="BF378" s="60" t="str">
        <f t="shared" si="351"/>
        <v>0.0928201103504548+0.00168847223687784i</v>
      </c>
      <c r="BG378" s="66">
        <f t="shared" si="352"/>
        <v>-20.645721526375862</v>
      </c>
      <c r="BH378" s="63">
        <f t="shared" si="353"/>
        <v>1.0421412332053321</v>
      </c>
      <c r="BI378" s="60" t="e">
        <f t="shared" si="357"/>
        <v>#NUM!</v>
      </c>
      <c r="BJ378" s="66" t="e">
        <f t="shared" si="354"/>
        <v>#NUM!</v>
      </c>
      <c r="BK378" s="63" t="e">
        <f t="shared" si="358"/>
        <v>#NUM!</v>
      </c>
      <c r="BL378" s="51">
        <f t="shared" si="355"/>
        <v>-20.645721526375862</v>
      </c>
      <c r="BM378" s="63">
        <f t="shared" si="356"/>
        <v>1.0421412332053321</v>
      </c>
    </row>
    <row r="379" spans="14:65" x14ac:dyDescent="0.3">
      <c r="N379" s="11">
        <v>61</v>
      </c>
      <c r="O379" s="52">
        <f t="shared" si="308"/>
        <v>40738.027780411358</v>
      </c>
      <c r="P379" s="50" t="str">
        <f t="shared" si="309"/>
        <v>23.3035714285714</v>
      </c>
      <c r="Q379" s="18" t="str">
        <f t="shared" si="310"/>
        <v>1+97.0837076443364i</v>
      </c>
      <c r="R379" s="18">
        <f t="shared" si="321"/>
        <v>97.088857702472652</v>
      </c>
      <c r="S379" s="18">
        <f t="shared" si="322"/>
        <v>1.5604963015846236</v>
      </c>
      <c r="T379" s="18" t="str">
        <f t="shared" si="311"/>
        <v>1+0.453057302340237i</v>
      </c>
      <c r="U379" s="18">
        <f t="shared" si="323"/>
        <v>1.0978437590130086</v>
      </c>
      <c r="V379" s="18">
        <f t="shared" si="324"/>
        <v>0.4253934703310896</v>
      </c>
      <c r="W379" s="32" t="str">
        <f t="shared" si="312"/>
        <v>1-0.625691189672643i</v>
      </c>
      <c r="X379" s="18">
        <f t="shared" si="325"/>
        <v>1.1796141169187351</v>
      </c>
      <c r="Y379" s="18">
        <f t="shared" si="326"/>
        <v>-0.55909619621829831</v>
      </c>
      <c r="Z379" s="32" t="str">
        <f t="shared" si="313"/>
        <v>0.99336165237025+0.307087102853187i</v>
      </c>
      <c r="AA379" s="18">
        <f t="shared" si="327"/>
        <v>1.0397450943084643</v>
      </c>
      <c r="AB379" s="18">
        <f t="shared" si="328"/>
        <v>0.29982021929757718</v>
      </c>
      <c r="AC379" s="68" t="str">
        <f t="shared" si="329"/>
        <v>-0.122781411919407-0.272578765588633i</v>
      </c>
      <c r="AD379" s="66">
        <f t="shared" si="330"/>
        <v>-10.487865761718302</v>
      </c>
      <c r="AE379" s="63">
        <f t="shared" si="331"/>
        <v>-114.24888710774265</v>
      </c>
      <c r="AF379" s="51" t="e">
        <f t="shared" si="332"/>
        <v>#NUM!</v>
      </c>
      <c r="AG379" s="51" t="str">
        <f t="shared" si="314"/>
        <v>1-135.917190702071i</v>
      </c>
      <c r="AH379" s="51">
        <f t="shared" si="333"/>
        <v>135.92086936281396</v>
      </c>
      <c r="AI379" s="51">
        <f t="shared" si="334"/>
        <v>-1.5634390384964909</v>
      </c>
      <c r="AJ379" s="51" t="str">
        <f t="shared" si="315"/>
        <v>1+0.453057302340237i</v>
      </c>
      <c r="AK379" s="51">
        <f t="shared" si="335"/>
        <v>1.0978437590130086</v>
      </c>
      <c r="AL379" s="51">
        <f t="shared" si="336"/>
        <v>0.4253934703310896</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-0.000170731707317073</v>
      </c>
      <c r="AT379" s="32" t="str">
        <f t="shared" si="318"/>
        <v>0.00972665394854747i</v>
      </c>
      <c r="AU379" s="32">
        <f t="shared" si="342"/>
        <v>9.7266539485474698E-3</v>
      </c>
      <c r="AV379" s="32">
        <f t="shared" si="343"/>
        <v>1.5707963267948966</v>
      </c>
      <c r="AW379" s="32" t="str">
        <f t="shared" si="319"/>
        <v>1+2.07088815092896i</v>
      </c>
      <c r="AX379" s="32">
        <f t="shared" si="344"/>
        <v>2.2996907908799322</v>
      </c>
      <c r="AY379" s="32">
        <f t="shared" si="345"/>
        <v>1.1209345489867795</v>
      </c>
      <c r="AZ379" s="32" t="str">
        <f t="shared" si="320"/>
        <v>1+39.3468748676504i</v>
      </c>
      <c r="BA379" s="32">
        <f t="shared" si="346"/>
        <v>39.359580305823108</v>
      </c>
      <c r="BB379" s="32">
        <f t="shared" si="347"/>
        <v>1.5453868176607124</v>
      </c>
      <c r="BC379" s="60" t="str">
        <f t="shared" si="348"/>
        <v>-0.123720302856681+0.273763883570064i</v>
      </c>
      <c r="BD379" s="51">
        <f t="shared" si="349"/>
        <v>-10.445365377949773</v>
      </c>
      <c r="BE379" s="63">
        <f t="shared" si="350"/>
        <v>114.31932359976923</v>
      </c>
      <c r="BF379" s="60" t="str">
        <f t="shared" si="351"/>
        <v>0.0898127749141182+0.000110411273653327i</v>
      </c>
      <c r="BG379" s="66">
        <f t="shared" si="352"/>
        <v>-20.933231139668077</v>
      </c>
      <c r="BH379" s="63">
        <f t="shared" si="353"/>
        <v>7.0436492026595882E-2</v>
      </c>
      <c r="BI379" s="60" t="e">
        <f t="shared" si="357"/>
        <v>#NUM!</v>
      </c>
      <c r="BJ379" s="66" t="e">
        <f t="shared" si="354"/>
        <v>#NUM!</v>
      </c>
      <c r="BK379" s="63" t="e">
        <f t="shared" si="358"/>
        <v>#NUM!</v>
      </c>
      <c r="BL379" s="51">
        <f t="shared" si="355"/>
        <v>-20.933231139668077</v>
      </c>
      <c r="BM379" s="63">
        <f t="shared" si="356"/>
        <v>7.0436492026595882E-2</v>
      </c>
    </row>
    <row r="380" spans="14:65" x14ac:dyDescent="0.3">
      <c r="N380" s="11">
        <v>62</v>
      </c>
      <c r="O380" s="52">
        <f t="shared" si="308"/>
        <v>41686.938347033625</v>
      </c>
      <c r="P380" s="50" t="str">
        <f t="shared" si="309"/>
        <v>23.3035714285714</v>
      </c>
      <c r="Q380" s="18" t="str">
        <f t="shared" si="310"/>
        <v>1+99.3450776970831i</v>
      </c>
      <c r="R380" s="18">
        <f t="shared" si="321"/>
        <v>99.350110531591639</v>
      </c>
      <c r="S380" s="18">
        <f t="shared" si="322"/>
        <v>1.5607307427623696</v>
      </c>
      <c r="T380" s="18" t="str">
        <f t="shared" si="311"/>
        <v>1+0.463610362586388i</v>
      </c>
      <c r="U380" s="18">
        <f t="shared" si="323"/>
        <v>1.1022407034298281</v>
      </c>
      <c r="V380" s="18">
        <f t="shared" si="324"/>
        <v>0.43411448346804593</v>
      </c>
      <c r="W380" s="32" t="str">
        <f t="shared" si="312"/>
        <v>1-0.640265409723825i</v>
      </c>
      <c r="X380" s="18">
        <f t="shared" si="325"/>
        <v>1.1874088575081532</v>
      </c>
      <c r="Y380" s="18">
        <f t="shared" si="326"/>
        <v>-0.56950145567334232</v>
      </c>
      <c r="Z380" s="32" t="str">
        <f t="shared" si="313"/>
        <v>0.993048796685002+0.314240080369466i</v>
      </c>
      <c r="AA380" s="18">
        <f t="shared" si="327"/>
        <v>1.0415818454198109</v>
      </c>
      <c r="AB380" s="18">
        <f t="shared" si="328"/>
        <v>0.30647004030359237</v>
      </c>
      <c r="AC380" s="68" t="str">
        <f t="shared" si="329"/>
        <v>-0.123347781262693-0.267687025431207i</v>
      </c>
      <c r="AD380" s="66">
        <f t="shared" si="330"/>
        <v>-10.61125085534754</v>
      </c>
      <c r="AE380" s="63">
        <f t="shared" si="331"/>
        <v>-114.73982648162051</v>
      </c>
      <c r="AF380" s="51" t="e">
        <f t="shared" si="332"/>
        <v>#NUM!</v>
      </c>
      <c r="AG380" s="51" t="str">
        <f t="shared" si="314"/>
        <v>1-139.083108775917i</v>
      </c>
      <c r="AH380" s="51">
        <f t="shared" si="333"/>
        <v>139.0867037023078</v>
      </c>
      <c r="AI380" s="51">
        <f t="shared" si="334"/>
        <v>-1.563606504985747</v>
      </c>
      <c r="AJ380" s="51" t="str">
        <f t="shared" si="315"/>
        <v>1+0.463610362586388i</v>
      </c>
      <c r="AK380" s="51">
        <f t="shared" si="335"/>
        <v>1.1022407034298281</v>
      </c>
      <c r="AL380" s="51">
        <f t="shared" si="336"/>
        <v>0.43411448346804593</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-0.000170731707317073</v>
      </c>
      <c r="AT380" s="32" t="str">
        <f t="shared" si="318"/>
        <v>0.00995321682388855i</v>
      </c>
      <c r="AU380" s="32">
        <f t="shared" si="342"/>
        <v>9.9532168238885502E-3</v>
      </c>
      <c r="AV380" s="32">
        <f t="shared" si="343"/>
        <v>1.5707963267948966</v>
      </c>
      <c r="AW380" s="32" t="str">
        <f t="shared" si="319"/>
        <v>1+2.11912533264286i</v>
      </c>
      <c r="AX380" s="32">
        <f t="shared" si="344"/>
        <v>2.3432226047579672</v>
      </c>
      <c r="AY380" s="32">
        <f t="shared" si="345"/>
        <v>1.129886232757602</v>
      </c>
      <c r="AZ380" s="32" t="str">
        <f t="shared" si="320"/>
        <v>1+40.2633813202145i</v>
      </c>
      <c r="BA380" s="32">
        <f t="shared" si="346"/>
        <v>40.275797637501825</v>
      </c>
      <c r="BB380" s="32">
        <f t="shared" si="347"/>
        <v>1.5459649682093772</v>
      </c>
      <c r="BC380" s="60" t="str">
        <f t="shared" si="348"/>
        <v>-0.119166112027724+0.26968134666852i</v>
      </c>
      <c r="BD380" s="51">
        <f t="shared" si="349"/>
        <v>-10.608373596857101</v>
      </c>
      <c r="BE380" s="63">
        <f t="shared" si="350"/>
        <v>113.8395554865271</v>
      </c>
      <c r="BF380" s="60" t="str">
        <f t="shared" si="351"/>
        <v>0.0868890730242995-0.00136537369859367i</v>
      </c>
      <c r="BG380" s="66">
        <f t="shared" si="352"/>
        <v>-21.219624452204641</v>
      </c>
      <c r="BH380" s="63">
        <f t="shared" si="353"/>
        <v>-0.90027099509341846</v>
      </c>
      <c r="BI380" s="60" t="e">
        <f t="shared" si="357"/>
        <v>#NUM!</v>
      </c>
      <c r="BJ380" s="66" t="e">
        <f t="shared" si="354"/>
        <v>#NUM!</v>
      </c>
      <c r="BK380" s="63" t="e">
        <f t="shared" si="358"/>
        <v>#NUM!</v>
      </c>
      <c r="BL380" s="51">
        <f t="shared" si="355"/>
        <v>-21.219624452204641</v>
      </c>
      <c r="BM380" s="63">
        <f t="shared" si="356"/>
        <v>-0.90027099509341846</v>
      </c>
    </row>
    <row r="381" spans="14:65" x14ac:dyDescent="0.3">
      <c r="N381" s="11">
        <v>63</v>
      </c>
      <c r="O381" s="52">
        <f t="shared" si="308"/>
        <v>42657.951880159271</v>
      </c>
      <c r="P381" s="50" t="str">
        <f t="shared" si="309"/>
        <v>23.3035714285714</v>
      </c>
      <c r="Q381" s="18" t="str">
        <f t="shared" si="310"/>
        <v>1+101.659121825012i</v>
      </c>
      <c r="R381" s="18">
        <f t="shared" si="321"/>
        <v>101.6640401038274</v>
      </c>
      <c r="S381" s="18">
        <f t="shared" si="322"/>
        <v>1.5609598484765876</v>
      </c>
      <c r="T381" s="18" t="str">
        <f t="shared" si="311"/>
        <v>1+0.47440923518339i</v>
      </c>
      <c r="U381" s="18">
        <f t="shared" si="323"/>
        <v>1.1068261482397717</v>
      </c>
      <c r="V381" s="18">
        <f t="shared" si="324"/>
        <v>0.4429662150037153</v>
      </c>
      <c r="W381" s="32" t="str">
        <f t="shared" si="312"/>
        <v>1-0.655179106970156i</v>
      </c>
      <c r="X381" s="18">
        <f t="shared" si="325"/>
        <v>1.1955164834539971</v>
      </c>
      <c r="Y381" s="18">
        <f t="shared" si="326"/>
        <v>-0.58000745718990276</v>
      </c>
      <c r="Z381" s="32" t="str">
        <f t="shared" si="313"/>
        <v>0.99272119656556+0.321559672135815i</v>
      </c>
      <c r="AA381" s="18">
        <f t="shared" si="327"/>
        <v>1.0435017953289061</v>
      </c>
      <c r="AB381" s="18">
        <f t="shared" si="328"/>
        <v>0.31325241595399606</v>
      </c>
      <c r="AC381" s="68" t="str">
        <f t="shared" si="329"/>
        <v>-0.12392709732878-0.262925530904057i</v>
      </c>
      <c r="AD381" s="66">
        <f t="shared" si="330"/>
        <v>-10.732062027589272</v>
      </c>
      <c r="AE381" s="63">
        <f t="shared" si="331"/>
        <v>-115.23633746002808</v>
      </c>
      <c r="AF381" s="51" t="e">
        <f t="shared" si="332"/>
        <v>#NUM!</v>
      </c>
      <c r="AG381" s="51" t="str">
        <f t="shared" si="314"/>
        <v>1-142.322770555017i</v>
      </c>
      <c r="AH381" s="51">
        <f t="shared" si="333"/>
        <v>142.32628365293607</v>
      </c>
      <c r="AI381" s="51">
        <f t="shared" si="334"/>
        <v>-1.5637701598619997</v>
      </c>
      <c r="AJ381" s="51" t="str">
        <f t="shared" si="315"/>
        <v>1+0.47440923518339i</v>
      </c>
      <c r="AK381" s="51">
        <f t="shared" si="335"/>
        <v>1.1068261482397717</v>
      </c>
      <c r="AL381" s="51">
        <f t="shared" si="336"/>
        <v>0.4429662150037153</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-0.000170731707317073</v>
      </c>
      <c r="AT381" s="32" t="str">
        <f t="shared" si="318"/>
        <v>0.010185057026536i</v>
      </c>
      <c r="AU381" s="32">
        <f t="shared" si="342"/>
        <v>1.0185057026536E-2</v>
      </c>
      <c r="AV381" s="32">
        <f t="shared" si="343"/>
        <v>1.5707963267948966</v>
      </c>
      <c r="AW381" s="32" t="str">
        <f t="shared" si="319"/>
        <v>1+2.16848610265806i</v>
      </c>
      <c r="AX381" s="32">
        <f t="shared" si="344"/>
        <v>2.3879556062500709</v>
      </c>
      <c r="AY381" s="32">
        <f t="shared" si="345"/>
        <v>1.1387078408885052</v>
      </c>
      <c r="AZ381" s="32" t="str">
        <f t="shared" si="320"/>
        <v>1+41.2012359505033i</v>
      </c>
      <c r="BA381" s="32">
        <f t="shared" si="346"/>
        <v>41.213369722082248</v>
      </c>
      <c r="BB381" s="32">
        <f t="shared" si="347"/>
        <v>1.5465299744890981</v>
      </c>
      <c r="BC381" s="60" t="str">
        <f t="shared" si="348"/>
        <v>-0.114743308786658+0.26558223084835i</v>
      </c>
      <c r="BD381" s="51">
        <f t="shared" si="349"/>
        <v>-10.772748105030477</v>
      </c>
      <c r="BE381" s="63">
        <f t="shared" si="350"/>
        <v>113.36648704733429</v>
      </c>
      <c r="BF381" s="60" t="str">
        <f t="shared" si="351"/>
        <v>0.0840481542403167-0.00274388959071778i</v>
      </c>
      <c r="BG381" s="66">
        <f t="shared" si="352"/>
        <v>-21.504810132619752</v>
      </c>
      <c r="BH381" s="63">
        <f t="shared" si="353"/>
        <v>-1.8698504126937905</v>
      </c>
      <c r="BI381" s="60" t="e">
        <f t="shared" si="357"/>
        <v>#NUM!</v>
      </c>
      <c r="BJ381" s="66" t="e">
        <f t="shared" si="354"/>
        <v>#NUM!</v>
      </c>
      <c r="BK381" s="63" t="e">
        <f t="shared" si="358"/>
        <v>#NUM!</v>
      </c>
      <c r="BL381" s="51">
        <f t="shared" si="355"/>
        <v>-21.504810132619752</v>
      </c>
      <c r="BM381" s="63">
        <f t="shared" si="356"/>
        <v>-1.8698504126937905</v>
      </c>
    </row>
    <row r="382" spans="14:65" x14ac:dyDescent="0.3">
      <c r="N382" s="11">
        <v>64</v>
      </c>
      <c r="O382" s="52">
        <f t="shared" si="308"/>
        <v>43651.583224016598</v>
      </c>
      <c r="P382" s="50" t="str">
        <f t="shared" si="309"/>
        <v>23.3035714285714</v>
      </c>
      <c r="Q382" s="18" t="str">
        <f t="shared" si="310"/>
        <v>1+104.02706696495i</v>
      </c>
      <c r="R382" s="18">
        <f t="shared" si="321"/>
        <v>104.03187329530404</v>
      </c>
      <c r="S382" s="18">
        <f t="shared" si="322"/>
        <v>1.5611837401058999</v>
      </c>
      <c r="T382" s="18" t="str">
        <f t="shared" si="311"/>
        <v>1+0.485459645836435i</v>
      </c>
      <c r="U382" s="18">
        <f t="shared" si="323"/>
        <v>1.1116074251891432</v>
      </c>
      <c r="V382" s="18">
        <f t="shared" si="324"/>
        <v>0.45194780874200102</v>
      </c>
      <c r="W382" s="32" t="str">
        <f t="shared" si="312"/>
        <v>1-0.670440188851322i</v>
      </c>
      <c r="X382" s="18">
        <f t="shared" si="325"/>
        <v>1.203947692728798</v>
      </c>
      <c r="Y382" s="18">
        <f t="shared" si="326"/>
        <v>-0.59061049409162114</v>
      </c>
      <c r="Z382" s="32" t="str">
        <f t="shared" si="313"/>
        <v>0.992378157128147+0.329049759096676i</v>
      </c>
      <c r="AA382" s="18">
        <f t="shared" si="327"/>
        <v>1.0455085608002634</v>
      </c>
      <c r="AB382" s="18">
        <f t="shared" si="328"/>
        <v>0.32016901050375252</v>
      </c>
      <c r="AC382" s="68" t="str">
        <f t="shared" si="329"/>
        <v>-0.124520142571772-0.258291071317541i</v>
      </c>
      <c r="AD382" s="66">
        <f t="shared" si="330"/>
        <v>-10.850249392201313</v>
      </c>
      <c r="AE382" s="63">
        <f t="shared" si="331"/>
        <v>-115.73835903174538</v>
      </c>
      <c r="AF382" s="51" t="e">
        <f t="shared" si="332"/>
        <v>#NUM!</v>
      </c>
      <c r="AG382" s="51" t="str">
        <f t="shared" si="314"/>
        <v>1-145.637893750931i</v>
      </c>
      <c r="AH382" s="51">
        <f t="shared" si="333"/>
        <v>145.64132688288535</v>
      </c>
      <c r="AI382" s="51">
        <f t="shared" si="334"/>
        <v>-1.5639300898621455</v>
      </c>
      <c r="AJ382" s="51" t="str">
        <f t="shared" si="315"/>
        <v>1+0.485459645836435i</v>
      </c>
      <c r="AK382" s="51">
        <f t="shared" si="335"/>
        <v>1.1116074251891432</v>
      </c>
      <c r="AL382" s="51">
        <f t="shared" si="336"/>
        <v>0.45194780874200102</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-0.000170731707317073</v>
      </c>
      <c r="AT382" s="32" t="str">
        <f t="shared" si="318"/>
        <v>0.0104222974812342i</v>
      </c>
      <c r="AU382" s="32">
        <f t="shared" si="342"/>
        <v>1.0422297481234201E-2</v>
      </c>
      <c r="AV382" s="32">
        <f t="shared" si="343"/>
        <v>1.5707963267948966</v>
      </c>
      <c r="AW382" s="32" t="str">
        <f t="shared" si="319"/>
        <v>1+2.21899663270819i</v>
      </c>
      <c r="AX382" s="32">
        <f t="shared" si="344"/>
        <v>2.4339157865403411</v>
      </c>
      <c r="AY382" s="32">
        <f t="shared" si="345"/>
        <v>1.1473985576610231</v>
      </c>
      <c r="AZ382" s="32" t="str">
        <f t="shared" si="320"/>
        <v>1+42.1609360214558i</v>
      </c>
      <c r="BA382" s="32">
        <f t="shared" si="346"/>
        <v>42.172793673235454</v>
      </c>
      <c r="BB382" s="32">
        <f t="shared" si="347"/>
        <v>1.5470821346299113</v>
      </c>
      <c r="BC382" s="60" t="str">
        <f t="shared" si="348"/>
        <v>-0.110450776004255+0.261471288841865i</v>
      </c>
      <c r="BD382" s="51">
        <f t="shared" si="349"/>
        <v>-10.938449161961074</v>
      </c>
      <c r="BE382" s="63">
        <f t="shared" si="350"/>
        <v>112.90018210100945</v>
      </c>
      <c r="BF382" s="60" t="str">
        <f t="shared" si="351"/>
        <v>0.0812890456889562-0.00402999290302124i</v>
      </c>
      <c r="BG382" s="66">
        <f t="shared" si="352"/>
        <v>-21.788698554162384</v>
      </c>
      <c r="BH382" s="63">
        <f t="shared" si="353"/>
        <v>-2.8381769307359179</v>
      </c>
      <c r="BI382" s="60" t="e">
        <f t="shared" si="357"/>
        <v>#NUM!</v>
      </c>
      <c r="BJ382" s="66" t="e">
        <f t="shared" si="354"/>
        <v>#NUM!</v>
      </c>
      <c r="BK382" s="63" t="e">
        <f t="shared" si="358"/>
        <v>#NUM!</v>
      </c>
      <c r="BL382" s="51">
        <f t="shared" si="355"/>
        <v>-21.788698554162384</v>
      </c>
      <c r="BM382" s="63">
        <f t="shared" si="356"/>
        <v>-2.8381769307359179</v>
      </c>
    </row>
    <row r="383" spans="14:65" x14ac:dyDescent="0.3">
      <c r="N383" s="11">
        <v>65</v>
      </c>
      <c r="O383" s="52">
        <f t="shared" si="308"/>
        <v>44668.359215096389</v>
      </c>
      <c r="P383" s="50" t="str">
        <f t="shared" si="309"/>
        <v>23.3035714285714</v>
      </c>
      <c r="Q383" s="18" t="str">
        <f t="shared" si="310"/>
        <v>1+106.450168632755i</v>
      </c>
      <c r="R383" s="18">
        <f t="shared" si="321"/>
        <v>106.45486556255648</v>
      </c>
      <c r="S383" s="18">
        <f t="shared" si="322"/>
        <v>1.5614025362707753</v>
      </c>
      <c r="T383" s="18" t="str">
        <f t="shared" si="311"/>
        <v>1+0.496767453619522i</v>
      </c>
      <c r="U383" s="18">
        <f t="shared" si="323"/>
        <v>1.1165920933696529</v>
      </c>
      <c r="V383" s="18">
        <f t="shared" si="324"/>
        <v>0.46105822956046583</v>
      </c>
      <c r="W383" s="32" t="str">
        <f t="shared" si="312"/>
        <v>1-0.686056746994946i</v>
      </c>
      <c r="X383" s="18">
        <f t="shared" si="325"/>
        <v>1.212713428678551</v>
      </c>
      <c r="Y383" s="18">
        <f t="shared" si="326"/>
        <v>-0.60130665181270826</v>
      </c>
      <c r="Z383" s="32" t="str">
        <f t="shared" si="313"/>
        <v>0.992018950740124+0.3367143125953i</v>
      </c>
      <c r="AA383" s="18">
        <f t="shared" si="327"/>
        <v>1.0476059024910378</v>
      </c>
      <c r="AB383" s="18">
        <f t="shared" si="328"/>
        <v>0.32722144427188765</v>
      </c>
      <c r="AC383" s="68" t="str">
        <f t="shared" si="329"/>
        <v>-0.125127692791186-0.253780467628017i</v>
      </c>
      <c r="AD383" s="66">
        <f t="shared" si="330"/>
        <v>-10.965764658752231</v>
      </c>
      <c r="AE383" s="63">
        <f t="shared" si="331"/>
        <v>-116.24582585071447</v>
      </c>
      <c r="AF383" s="51" t="e">
        <f t="shared" si="332"/>
        <v>#NUM!</v>
      </c>
      <c r="AG383" s="51" t="str">
        <f t="shared" si="314"/>
        <v>1-149.030236085857i</v>
      </c>
      <c r="AH383" s="51">
        <f t="shared" si="333"/>
        <v>149.03359107196698</v>
      </c>
      <c r="AI383" s="51">
        <f t="shared" si="334"/>
        <v>-1.5640863797504432</v>
      </c>
      <c r="AJ383" s="51" t="str">
        <f t="shared" si="315"/>
        <v>1+0.496767453619522i</v>
      </c>
      <c r="AK383" s="51">
        <f t="shared" si="335"/>
        <v>1.1165920933696529</v>
      </c>
      <c r="AL383" s="51">
        <f t="shared" si="336"/>
        <v>0.46105822956046583</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-0.000170731707317073</v>
      </c>
      <c r="AT383" s="32" t="str">
        <f t="shared" si="318"/>
        <v>0.0106650639760123i</v>
      </c>
      <c r="AU383" s="32">
        <f t="shared" si="342"/>
        <v>1.0665063976012299E-2</v>
      </c>
      <c r="AV383" s="32">
        <f t="shared" si="343"/>
        <v>1.5707963267948966</v>
      </c>
      <c r="AW383" s="32" t="str">
        <f t="shared" si="319"/>
        <v>1+2.27068370414489i</v>
      </c>
      <c r="AX383" s="32">
        <f t="shared" si="344"/>
        <v>2.48112967905129</v>
      </c>
      <c r="AY383" s="32">
        <f t="shared" si="345"/>
        <v>1.1559577387970357</v>
      </c>
      <c r="AZ383" s="32" t="str">
        <f t="shared" si="320"/>
        <v>1+43.1429903787531i</v>
      </c>
      <c r="BA383" s="32">
        <f t="shared" si="346"/>
        <v>43.154578190745681</v>
      </c>
      <c r="BB383" s="32">
        <f t="shared" si="347"/>
        <v>1.5476217400469163</v>
      </c>
      <c r="BC383" s="60" t="str">
        <f t="shared" si="348"/>
        <v>-0.106287193351021+0.257353100775994i</v>
      </c>
      <c r="BD383" s="51">
        <f t="shared" si="349"/>
        <v>-11.105437388623344</v>
      </c>
      <c r="BE383" s="63">
        <f t="shared" si="350"/>
        <v>112.44069425882473</v>
      </c>
      <c r="BF383" s="60" t="str">
        <f t="shared" si="351"/>
        <v>0.0786106615377159-0.00522838610126614i</v>
      </c>
      <c r="BG383" s="66">
        <f t="shared" si="352"/>
        <v>-22.071202047375568</v>
      </c>
      <c r="BH383" s="63">
        <f t="shared" si="353"/>
        <v>-3.8051315918897219</v>
      </c>
      <c r="BI383" s="60" t="e">
        <f t="shared" si="357"/>
        <v>#NUM!</v>
      </c>
      <c r="BJ383" s="66" t="e">
        <f t="shared" si="354"/>
        <v>#NUM!</v>
      </c>
      <c r="BK383" s="63" t="e">
        <f t="shared" si="358"/>
        <v>#NUM!</v>
      </c>
      <c r="BL383" s="51">
        <f t="shared" si="355"/>
        <v>-22.071202047375568</v>
      </c>
      <c r="BM383" s="63">
        <f t="shared" si="356"/>
        <v>-3.8051315918897219</v>
      </c>
    </row>
    <row r="384" spans="14:65" x14ac:dyDescent="0.3">
      <c r="N384" s="11">
        <v>66</v>
      </c>
      <c r="O384" s="52">
        <f t="shared" ref="O384:O418" si="359">10^(4+(N384/100))</f>
        <v>45708.818961487581</v>
      </c>
      <c r="P384" s="50" t="str">
        <f t="shared" si="309"/>
        <v>23.3035714285714</v>
      </c>
      <c r="Q384" s="18" t="str">
        <f t="shared" si="310"/>
        <v>1+108.929711589002i</v>
      </c>
      <c r="R384" s="18">
        <f t="shared" si="321"/>
        <v>108.93430160818565</v>
      </c>
      <c r="S384" s="18">
        <f t="shared" si="322"/>
        <v>1.561616352895995</v>
      </c>
      <c r="T384" s="18" t="str">
        <f t="shared" si="311"/>
        <v>1+0.50833865408201i</v>
      </c>
      <c r="U384" s="18">
        <f t="shared" si="323"/>
        <v>1.121787942186004</v>
      </c>
      <c r="V384" s="18">
        <f t="shared" si="324"/>
        <v>0.47029625765860938</v>
      </c>
      <c r="W384" s="32" t="str">
        <f t="shared" si="312"/>
        <v>1-0.702037061506856i</v>
      </c>
      <c r="X384" s="18">
        <f t="shared" si="325"/>
        <v>1.2218248793215749</v>
      </c>
      <c r="Y384" s="18">
        <f t="shared" si="326"/>
        <v>-0.61209181178485206</v>
      </c>
      <c r="Z384" s="32" t="str">
        <f t="shared" si="313"/>
        <v>0.991642815476584+0.3445573964794i</v>
      </c>
      <c r="AA384" s="18">
        <f t="shared" si="327"/>
        <v>1.0497977295436434</v>
      </c>
      <c r="AB384" s="18">
        <f t="shared" si="328"/>
        <v>0.33441128869053927</v>
      </c>
      <c r="AC384" s="68" t="str">
        <f t="shared" si="329"/>
        <v>-0.125750516241943-0.249390569659891i</v>
      </c>
      <c r="AD384" s="66">
        <f t="shared" si="330"/>
        <v>-11.078561323436302</v>
      </c>
      <c r="AE384" s="63">
        <f t="shared" si="331"/>
        <v>-116.75866850820411</v>
      </c>
      <c r="AF384" s="51" t="e">
        <f t="shared" si="332"/>
        <v>#NUM!</v>
      </c>
      <c r="AG384" s="51" t="str">
        <f t="shared" si="314"/>
        <v>1-152.501596224603i</v>
      </c>
      <c r="AH384" s="51">
        <f t="shared" si="333"/>
        <v>152.5048748435664</v>
      </c>
      <c r="AI384" s="51">
        <f t="shared" si="334"/>
        <v>-1.5642391123633017</v>
      </c>
      <c r="AJ384" s="51" t="str">
        <f t="shared" si="315"/>
        <v>1+0.50833865408201i</v>
      </c>
      <c r="AK384" s="51">
        <f t="shared" si="335"/>
        <v>1.121787942186004</v>
      </c>
      <c r="AL384" s="51">
        <f t="shared" si="336"/>
        <v>0.47029625765860938</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-0.000170731707317073</v>
      </c>
      <c r="AT384" s="32" t="str">
        <f t="shared" si="318"/>
        <v>0.0109134852288793i</v>
      </c>
      <c r="AU384" s="32">
        <f t="shared" si="342"/>
        <v>1.09134852288793E-2</v>
      </c>
      <c r="AV384" s="32">
        <f t="shared" si="343"/>
        <v>1.5707963267948966</v>
      </c>
      <c r="AW384" s="32" t="str">
        <f t="shared" si="319"/>
        <v>1+2.32357472213757i</v>
      </c>
      <c r="AX384" s="32">
        <f t="shared" si="344"/>
        <v>2.529624377127301</v>
      </c>
      <c r="AY384" s="32">
        <f t="shared" si="345"/>
        <v>1.1643849051079618</v>
      </c>
      <c r="AZ384" s="32" t="str">
        <f t="shared" si="320"/>
        <v>1+44.1479197206139i</v>
      </c>
      <c r="BA384" s="32">
        <f t="shared" si="346"/>
        <v>44.159243830230714</v>
      </c>
      <c r="BB384" s="32">
        <f t="shared" si="347"/>
        <v>1.5481490755883747</v>
      </c>
      <c r="BC384" s="60" t="str">
        <f t="shared" si="348"/>
        <v>-0.10225105346196+0.253232067996919i</v>
      </c>
      <c r="BD384" s="51">
        <f t="shared" si="349"/>
        <v>-11.27367382762672</v>
      </c>
      <c r="BE384" s="63">
        <f t="shared" si="350"/>
        <v>111.98806729686672</v>
      </c>
      <c r="BF384" s="60" t="str">
        <f t="shared" si="351"/>
        <v>0.0760118124530279-0.0063436148084252i</v>
      </c>
      <c r="BG384" s="66">
        <f t="shared" si="352"/>
        <v>-22.35223515106302</v>
      </c>
      <c r="BH384" s="63">
        <f t="shared" si="353"/>
        <v>-4.770601211337393</v>
      </c>
      <c r="BI384" s="60" t="e">
        <f t="shared" si="357"/>
        <v>#NUM!</v>
      </c>
      <c r="BJ384" s="66" t="e">
        <f t="shared" si="354"/>
        <v>#NUM!</v>
      </c>
      <c r="BK384" s="63" t="e">
        <f t="shared" si="358"/>
        <v>#NUM!</v>
      </c>
      <c r="BL384" s="51">
        <f t="shared" si="355"/>
        <v>-22.35223515106302</v>
      </c>
      <c r="BM384" s="63">
        <f t="shared" si="356"/>
        <v>-4.770601211337393</v>
      </c>
    </row>
    <row r="385" spans="14:65" x14ac:dyDescent="0.3">
      <c r="N385" s="11">
        <v>67</v>
      </c>
      <c r="O385" s="52">
        <f t="shared" si="359"/>
        <v>46773.514128719893</v>
      </c>
      <c r="P385" s="50" t="str">
        <f t="shared" si="309"/>
        <v>23.3035714285714</v>
      </c>
      <c r="Q385" s="18" t="str">
        <f t="shared" si="310"/>
        <v>1+111.46701052019i</v>
      </c>
      <c r="R385" s="18">
        <f t="shared" si="321"/>
        <v>111.47149606203439</v>
      </c>
      <c r="S385" s="18">
        <f t="shared" si="322"/>
        <v>1.5618253032717178</v>
      </c>
      <c r="T385" s="18" t="str">
        <f t="shared" si="311"/>
        <v>1+0.520179382427552i</v>
      </c>
      <c r="U385" s="18">
        <f t="shared" si="323"/>
        <v>1.1272029940976511</v>
      </c>
      <c r="V385" s="18">
        <f t="shared" si="324"/>
        <v>0.4796604831577479</v>
      </c>
      <c r="W385" s="32" t="str">
        <f t="shared" si="312"/>
        <v>1-0.71838960536134i</v>
      </c>
      <c r="X385" s="18">
        <f t="shared" si="325"/>
        <v>1.2312934764268111</v>
      </c>
      <c r="Y385" s="18">
        <f t="shared" si="326"/>
        <v>-0.6229616563049114</v>
      </c>
      <c r="Z385" s="32" t="str">
        <f t="shared" si="313"/>
        <v>0.991248953504202+0.352583169255873i</v>
      </c>
      <c r="AA385" s="18">
        <f t="shared" si="327"/>
        <v>1.0520881042316235</v>
      </c>
      <c r="AB385" s="18">
        <f t="shared" si="328"/>
        <v>0.34174006114837219</v>
      </c>
      <c r="AC385" s="68" t="str">
        <f t="shared" si="329"/>
        <v>-0.126389372592415-0.245118253381178i</v>
      </c>
      <c r="AD385" s="66">
        <f t="shared" si="330"/>
        <v>-11.188594862240045</v>
      </c>
      <c r="AE385" s="63">
        <f t="shared" si="331"/>
        <v>-117.27681382915964</v>
      </c>
      <c r="AF385" s="51" t="e">
        <f t="shared" si="332"/>
        <v>#NUM!</v>
      </c>
      <c r="AG385" s="51" t="str">
        <f t="shared" si="314"/>
        <v>1-156.053814728266i</v>
      </c>
      <c r="AH385" s="51">
        <f t="shared" si="333"/>
        <v>156.05701871830041</v>
      </c>
      <c r="AI385" s="51">
        <f t="shared" si="334"/>
        <v>-1.5643883686530555</v>
      </c>
      <c r="AJ385" s="51" t="str">
        <f t="shared" si="315"/>
        <v>1+0.520179382427552i</v>
      </c>
      <c r="AK385" s="51">
        <f t="shared" si="335"/>
        <v>1.1272029940976511</v>
      </c>
      <c r="AL385" s="51">
        <f t="shared" si="336"/>
        <v>0.4796604831577479</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-0.000170731707317073</v>
      </c>
      <c r="AT385" s="32" t="str">
        <f t="shared" si="318"/>
        <v>0.0111676929560717i</v>
      </c>
      <c r="AU385" s="32">
        <f t="shared" si="342"/>
        <v>1.1167692956071699E-2</v>
      </c>
      <c r="AV385" s="32">
        <f t="shared" si="343"/>
        <v>1.5707963267948966</v>
      </c>
      <c r="AW385" s="32" t="str">
        <f t="shared" si="319"/>
        <v>1+2.37769773020408i</v>
      </c>
      <c r="AX385" s="32">
        <f t="shared" si="344"/>
        <v>2.5794275520389465</v>
      </c>
      <c r="AY385" s="32">
        <f t="shared" si="345"/>
        <v>1.1726797359538519</v>
      </c>
      <c r="AZ385" s="32" t="str">
        <f t="shared" si="320"/>
        <v>1+45.1762568738776i</v>
      </c>
      <c r="BA385" s="32">
        <f t="shared" si="346"/>
        <v>45.187323279151784</v>
      </c>
      <c r="BB385" s="32">
        <f t="shared" si="347"/>
        <v>1.5486644196807553</v>
      </c>
      <c r="BC385" s="60" t="str">
        <f t="shared" si="348"/>
        <v>-0.0983406779120002+0.249112408216575i</v>
      </c>
      <c r="BD385" s="51">
        <f t="shared" si="349"/>
        <v>-11.443119998428571</v>
      </c>
      <c r="BE385" s="63">
        <f t="shared" si="350"/>
        <v>111.54233553911267</v>
      </c>
      <c r="BF385" s="60" t="str">
        <f t="shared" si="351"/>
        <v>0.0734912149792363-0.007380065773368i</v>
      </c>
      <c r="BG385" s="66">
        <f t="shared" si="352"/>
        <v>-22.631714860668623</v>
      </c>
      <c r="BH385" s="63">
        <f t="shared" si="353"/>
        <v>-5.7344782900469617</v>
      </c>
      <c r="BI385" s="60" t="e">
        <f t="shared" si="357"/>
        <v>#NUM!</v>
      </c>
      <c r="BJ385" s="66" t="e">
        <f t="shared" si="354"/>
        <v>#NUM!</v>
      </c>
      <c r="BK385" s="63" t="e">
        <f t="shared" si="358"/>
        <v>#NUM!</v>
      </c>
      <c r="BL385" s="51">
        <f t="shared" si="355"/>
        <v>-22.631714860668623</v>
      </c>
      <c r="BM385" s="63">
        <f t="shared" si="356"/>
        <v>-5.7344782900469617</v>
      </c>
    </row>
    <row r="386" spans="14:65" x14ac:dyDescent="0.3">
      <c r="N386" s="11">
        <v>68</v>
      </c>
      <c r="O386" s="52">
        <f t="shared" si="359"/>
        <v>47863.009232263823</v>
      </c>
      <c r="P386" s="50" t="str">
        <f t="shared" si="309"/>
        <v>23.3035714285714</v>
      </c>
      <c r="Q386" s="18" t="str">
        <f t="shared" si="310"/>
        <v>1+114.063410735795i</v>
      </c>
      <c r="R386" s="18">
        <f t="shared" si="321"/>
        <v>114.06779417821086</v>
      </c>
      <c r="S386" s="18">
        <f t="shared" si="322"/>
        <v>1.5620294981131739</v>
      </c>
      <c r="T386" s="18" t="str">
        <f t="shared" si="311"/>
        <v>1+0.532295916767043i</v>
      </c>
      <c r="U386" s="18">
        <f t="shared" si="323"/>
        <v>1.1328455071221613</v>
      </c>
      <c r="V386" s="18">
        <f t="shared" si="324"/>
        <v>0.48914930110612914</v>
      </c>
      <c r="W386" s="32" t="str">
        <f t="shared" si="312"/>
        <v>1-0.735123048893594i</v>
      </c>
      <c r="X386" s="18">
        <f t="shared" si="325"/>
        <v>1.241130894392132</v>
      </c>
      <c r="Y386" s="18">
        <f t="shared" si="326"/>
        <v>-0.63391167439384777</v>
      </c>
      <c r="Z386" s="32" t="str">
        <f t="shared" si="313"/>
        <v>0.990836529388929+0.360795886295673i</v>
      </c>
      <c r="AA386" s="18">
        <f t="shared" si="327"/>
        <v>1.0544812466513467</v>
      </c>
      <c r="AB386" s="18">
        <f t="shared" si="328"/>
        <v>0.34920921963283186</v>
      </c>
      <c r="AC386" s="68" t="str">
        <f t="shared" si="329"/>
        <v>-0.127045011726701-0.240960418242119i</v>
      </c>
      <c r="AD386" s="66">
        <f t="shared" si="330"/>
        <v>-11.295822925462764</v>
      </c>
      <c r="AE386" s="63">
        <f t="shared" si="331"/>
        <v>-117.80018519052489</v>
      </c>
      <c r="AF386" s="51" t="e">
        <f t="shared" si="332"/>
        <v>#NUM!</v>
      </c>
      <c r="AG386" s="51" t="str">
        <f t="shared" si="314"/>
        <v>1-159.688775030113i</v>
      </c>
      <c r="AH386" s="51">
        <f t="shared" si="333"/>
        <v>159.69190608987682</v>
      </c>
      <c r="AI386" s="51">
        <f t="shared" si="334"/>
        <v>-1.564534227730749</v>
      </c>
      <c r="AJ386" s="51" t="str">
        <f t="shared" si="315"/>
        <v>1+0.532295916767043i</v>
      </c>
      <c r="AK386" s="51">
        <f t="shared" si="335"/>
        <v>1.1328455071221613</v>
      </c>
      <c r="AL386" s="51">
        <f t="shared" si="336"/>
        <v>0.48914930110612914</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-0.000170731707317073</v>
      </c>
      <c r="AT386" s="32" t="str">
        <f t="shared" si="318"/>
        <v>0.0114278219418913i</v>
      </c>
      <c r="AU386" s="32">
        <f t="shared" si="342"/>
        <v>1.1427821941891301E-2</v>
      </c>
      <c r="AV386" s="32">
        <f t="shared" si="343"/>
        <v>1.5707963267948966</v>
      </c>
      <c r="AW386" s="32" t="str">
        <f t="shared" si="319"/>
        <v>1+2.43308142507968i</v>
      </c>
      <c r="AX386" s="32">
        <f t="shared" si="344"/>
        <v>2.6305674713011573</v>
      </c>
      <c r="AY386" s="32">
        <f t="shared" si="345"/>
        <v>1.1808420625574985</v>
      </c>
      <c r="AZ386" s="32" t="str">
        <f t="shared" si="320"/>
        <v>1+46.2285470765141i</v>
      </c>
      <c r="BA386" s="32">
        <f t="shared" si="346"/>
        <v>46.239361639251463</v>
      </c>
      <c r="BB386" s="32">
        <f t="shared" si="347"/>
        <v>1.5491680444707705</v>
      </c>
      <c r="BC386" s="60" t="str">
        <f t="shared" si="348"/>
        <v>-0.0945542329079708+0.24499815190802i</v>
      </c>
      <c r="BD386" s="51">
        <f t="shared" si="349"/>
        <v>-11.613737947684054</v>
      </c>
      <c r="BE386" s="63">
        <f t="shared" si="350"/>
        <v>111.10352424864243</v>
      </c>
      <c r="BF386" s="60" t="str">
        <f t="shared" si="351"/>
        <v>0.0710475007809051-0.00834196557410709i</v>
      </c>
      <c r="BG386" s="66">
        <f t="shared" si="352"/>
        <v>-22.909560873146813</v>
      </c>
      <c r="BH386" s="63">
        <f t="shared" si="353"/>
        <v>-6.6966609418824348</v>
      </c>
      <c r="BI386" s="60" t="e">
        <f t="shared" si="357"/>
        <v>#NUM!</v>
      </c>
      <c r="BJ386" s="66" t="e">
        <f t="shared" si="354"/>
        <v>#NUM!</v>
      </c>
      <c r="BK386" s="63" t="e">
        <f t="shared" si="358"/>
        <v>#NUM!</v>
      </c>
      <c r="BL386" s="51">
        <f t="shared" si="355"/>
        <v>-22.909560873146813</v>
      </c>
      <c r="BM386" s="63">
        <f t="shared" si="356"/>
        <v>-6.6966609418824348</v>
      </c>
    </row>
    <row r="387" spans="14:65" x14ac:dyDescent="0.3">
      <c r="N387" s="11">
        <v>69</v>
      </c>
      <c r="O387" s="52">
        <f t="shared" si="359"/>
        <v>48977.881936844598</v>
      </c>
      <c r="P387" s="50" t="str">
        <f t="shared" si="309"/>
        <v>23.3035714285714</v>
      </c>
      <c r="Q387" s="18" t="str">
        <f t="shared" si="310"/>
        <v>1+116.72028888158i</v>
      </c>
      <c r="R387" s="18">
        <f t="shared" si="321"/>
        <v>116.72457254836912</v>
      </c>
      <c r="S387" s="18">
        <f t="shared" si="322"/>
        <v>1.56222904561902</v>
      </c>
      <c r="T387" s="18" t="str">
        <f t="shared" si="311"/>
        <v>1+0.544694681447374i</v>
      </c>
      <c r="U387" s="18">
        <f t="shared" si="323"/>
        <v>1.1387239770888538</v>
      </c>
      <c r="V387" s="18">
        <f t="shared" si="324"/>
        <v>0.49876090694408409</v>
      </c>
      <c r="W387" s="32" t="str">
        <f t="shared" si="312"/>
        <v>1-0.752246264396875i</v>
      </c>
      <c r="X387" s="18">
        <f t="shared" si="325"/>
        <v>1.2513490489463974</v>
      </c>
      <c r="Y387" s="18">
        <f t="shared" si="326"/>
        <v>-0.64493716864937845</v>
      </c>
      <c r="Z387" s="32" t="str">
        <f t="shared" si="313"/>
        <v>0.990404668323922+0.369199902090085i</v>
      </c>
      <c r="AA387" s="18">
        <f t="shared" si="327"/>
        <v>1.0569815394514448</v>
      </c>
      <c r="AB387" s="18">
        <f t="shared" si="328"/>
        <v>0.35682015717754684</v>
      </c>
      <c r="AC387" s="68" t="str">
        <f t="shared" si="329"/>
        <v>-0.127718172387805-0.23691398458722i</v>
      </c>
      <c r="AD387" s="66">
        <f t="shared" si="330"/>
        <v>-11.400205532523424</v>
      </c>
      <c r="AE387" s="63">
        <f t="shared" si="331"/>
        <v>-118.32870285890169</v>
      </c>
      <c r="AF387" s="51" t="e">
        <f t="shared" si="332"/>
        <v>#NUM!</v>
      </c>
      <c r="AG387" s="51" t="str">
        <f t="shared" si="314"/>
        <v>1-163.408404434212i</v>
      </c>
      <c r="AH387" s="51">
        <f t="shared" si="333"/>
        <v>163.41146422370431</v>
      </c>
      <c r="AI387" s="51">
        <f t="shared" si="334"/>
        <v>-1.5646767669079569</v>
      </c>
      <c r="AJ387" s="51" t="str">
        <f t="shared" si="315"/>
        <v>1+0.544694681447374i</v>
      </c>
      <c r="AK387" s="51">
        <f t="shared" si="335"/>
        <v>1.1387239770888538</v>
      </c>
      <c r="AL387" s="51">
        <f t="shared" si="336"/>
        <v>0.49876090694408409</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-0.000170731707317073</v>
      </c>
      <c r="AT387" s="32" t="str">
        <f t="shared" si="318"/>
        <v>0.0116940101101696i</v>
      </c>
      <c r="AU387" s="32">
        <f t="shared" si="342"/>
        <v>1.16940101101696E-2</v>
      </c>
      <c r="AV387" s="32">
        <f t="shared" si="343"/>
        <v>1.5707963267948966</v>
      </c>
      <c r="AW387" s="32" t="str">
        <f t="shared" si="319"/>
        <v>1+2.48975517193251i</v>
      </c>
      <c r="AX387" s="32">
        <f t="shared" si="344"/>
        <v>2.6830730173002526</v>
      </c>
      <c r="AY387" s="32">
        <f t="shared" si="345"/>
        <v>1.1888718612161273</v>
      </c>
      <c r="AZ387" s="32" t="str">
        <f t="shared" si="320"/>
        <v>1+47.3053482667177i</v>
      </c>
      <c r="BA387" s="32">
        <f t="shared" si="346"/>
        <v>47.315916715577337</v>
      </c>
      <c r="BB387" s="32">
        <f t="shared" si="347"/>
        <v>1.5496602159644577</v>
      </c>
      <c r="BC387" s="60" t="str">
        <f t="shared" si="348"/>
        <v>-0.090889744614199+0.240893139872261i</v>
      </c>
      <c r="BD387" s="51">
        <f t="shared" si="349"/>
        <v>-11.785490294832332</v>
      </c>
      <c r="BE387" s="63">
        <f t="shared" si="350"/>
        <v>110.6716500245481</v>
      </c>
      <c r="BF387" s="60" t="str">
        <f t="shared" si="351"/>
        <v>0.0686792256977837-0.00923338001058035i</v>
      </c>
      <c r="BG387" s="66">
        <f t="shared" si="352"/>
        <v>-23.185695827355758</v>
      </c>
      <c r="BH387" s="63">
        <f t="shared" si="353"/>
        <v>-7.6570528343536113</v>
      </c>
      <c r="BI387" s="60" t="e">
        <f t="shared" si="357"/>
        <v>#NUM!</v>
      </c>
      <c r="BJ387" s="66" t="e">
        <f t="shared" si="354"/>
        <v>#NUM!</v>
      </c>
      <c r="BK387" s="63" t="e">
        <f t="shared" si="358"/>
        <v>#NUM!</v>
      </c>
      <c r="BL387" s="51">
        <f t="shared" si="355"/>
        <v>-23.185695827355758</v>
      </c>
      <c r="BM387" s="63">
        <f t="shared" si="356"/>
        <v>-7.6570528343536113</v>
      </c>
    </row>
    <row r="388" spans="14:65" x14ac:dyDescent="0.3">
      <c r="N388" s="11">
        <v>70</v>
      </c>
      <c r="O388" s="52">
        <f t="shared" si="359"/>
        <v>50118.723362727294</v>
      </c>
      <c r="P388" s="50" t="str">
        <f t="shared" si="309"/>
        <v>23.3035714285714</v>
      </c>
      <c r="Q388" s="18" t="str">
        <f t="shared" si="310"/>
        <v>1+119.439053669506i</v>
      </c>
      <c r="R388" s="18">
        <f t="shared" si="321"/>
        <v>119.44323983159168</v>
      </c>
      <c r="S388" s="18">
        <f t="shared" si="322"/>
        <v>1.562424051528382</v>
      </c>
      <c r="T388" s="18" t="str">
        <f t="shared" si="311"/>
        <v>1+0.557382250457697i</v>
      </c>
      <c r="U388" s="18">
        <f t="shared" si="323"/>
        <v>1.1448471396327489</v>
      </c>
      <c r="V388" s="18">
        <f t="shared" si="324"/>
        <v>0.50849329248450459</v>
      </c>
      <c r="W388" s="32" t="str">
        <f t="shared" si="312"/>
        <v>1-0.769768330826699i</v>
      </c>
      <c r="X388" s="18">
        <f t="shared" si="325"/>
        <v>1.2619600957018102</v>
      </c>
      <c r="Y388" s="18">
        <f t="shared" si="326"/>
        <v>-0.65603326308607834</v>
      </c>
      <c r="Z388" s="32" t="str">
        <f t="shared" si="313"/>
        <v>0.989952454273962+0.377799672559525i</v>
      </c>
      <c r="AA388" s="18">
        <f t="shared" si="327"/>
        <v>1.0595935325912127</v>
      </c>
      <c r="AB388" s="18">
        <f t="shared" si="328"/>
        <v>0.36457419612290137</v>
      </c>
      <c r="AC388" s="68" t="str">
        <f t="shared" si="329"/>
        <v>-0.128409580658957-0.232975891152065i</v>
      </c>
      <c r="AD388" s="66">
        <f t="shared" si="330"/>
        <v>-11.501705265918554</v>
      </c>
      <c r="AE388" s="63">
        <f t="shared" si="331"/>
        <v>-118.86228434447835</v>
      </c>
      <c r="AF388" s="51" t="e">
        <f t="shared" si="332"/>
        <v>#NUM!</v>
      </c>
      <c r="AG388" s="51" t="str">
        <f t="shared" si="314"/>
        <v>1-167.214675137309i</v>
      </c>
      <c r="AH388" s="51">
        <f t="shared" si="333"/>
        <v>167.21766527874917</v>
      </c>
      <c r="AI388" s="51">
        <f t="shared" si="334"/>
        <v>-1.5648160617376559</v>
      </c>
      <c r="AJ388" s="51" t="str">
        <f t="shared" si="315"/>
        <v>1+0.557382250457697i</v>
      </c>
      <c r="AK388" s="51">
        <f t="shared" si="335"/>
        <v>1.1448471396327489</v>
      </c>
      <c r="AL388" s="51">
        <f t="shared" si="336"/>
        <v>0.50849329248450459</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-0.000170731707317073</v>
      </c>
      <c r="AT388" s="32" t="str">
        <f t="shared" si="318"/>
        <v>0.0119663985973969i</v>
      </c>
      <c r="AU388" s="32">
        <f t="shared" si="342"/>
        <v>1.1966398597396901E-2</v>
      </c>
      <c r="AV388" s="32">
        <f t="shared" si="343"/>
        <v>1.5707963267948966</v>
      </c>
      <c r="AW388" s="32" t="str">
        <f t="shared" si="319"/>
        <v>1+2.5477490199333i</v>
      </c>
      <c r="AX388" s="32">
        <f t="shared" si="344"/>
        <v>2.7369737062257449</v>
      </c>
      <c r="AY388" s="32">
        <f t="shared" si="345"/>
        <v>1.1967692464503523</v>
      </c>
      <c r="AZ388" s="32" t="str">
        <f t="shared" si="320"/>
        <v>1+48.4072313787328i</v>
      </c>
      <c r="BA388" s="32">
        <f t="shared" si="346"/>
        <v>48.417559312238922</v>
      </c>
      <c r="BB388" s="32">
        <f t="shared" si="347"/>
        <v>1.5501411941633505</v>
      </c>
      <c r="BC388" s="60" t="str">
        <f t="shared" si="348"/>
        <v>-0.087345114039789+0.236801021895879i</v>
      </c>
      <c r="BD388" s="51">
        <f t="shared" si="349"/>
        <v>-11.95834027304304</v>
      </c>
      <c r="BE388" s="63">
        <f t="shared" si="350"/>
        <v>110.24672120227241</v>
      </c>
      <c r="BF388" s="60" t="str">
        <f t="shared" si="351"/>
        <v>0.0663848785683702-0.0100582141400637i</v>
      </c>
      <c r="BG388" s="66">
        <f t="shared" si="352"/>
        <v>-23.460045538961584</v>
      </c>
      <c r="BH388" s="63">
        <f t="shared" si="353"/>
        <v>-8.6155631422059304</v>
      </c>
      <c r="BI388" s="60" t="e">
        <f t="shared" si="357"/>
        <v>#NUM!</v>
      </c>
      <c r="BJ388" s="66" t="e">
        <f t="shared" si="354"/>
        <v>#NUM!</v>
      </c>
      <c r="BK388" s="63" t="e">
        <f t="shared" si="358"/>
        <v>#NUM!</v>
      </c>
      <c r="BL388" s="51">
        <f t="shared" si="355"/>
        <v>-23.460045538961584</v>
      </c>
      <c r="BM388" s="63">
        <f t="shared" si="356"/>
        <v>-8.6155631422059304</v>
      </c>
    </row>
    <row r="389" spans="14:65" x14ac:dyDescent="0.3">
      <c r="N389" s="11">
        <v>71</v>
      </c>
      <c r="O389" s="52">
        <f t="shared" si="359"/>
        <v>51286.138399136544</v>
      </c>
      <c r="P389" s="50" t="str">
        <f t="shared" si="309"/>
        <v>23.3035714285714</v>
      </c>
      <c r="Q389" s="18" t="str">
        <f t="shared" si="310"/>
        <v>1+122.221146624651i</v>
      </c>
      <c r="R389" s="18">
        <f t="shared" si="321"/>
        <v>122.22523750128056</v>
      </c>
      <c r="S389" s="18">
        <f t="shared" si="322"/>
        <v>1.5626146191766159</v>
      </c>
      <c r="T389" s="18" t="str">
        <f t="shared" si="311"/>
        <v>1+0.570365350915038i</v>
      </c>
      <c r="U389" s="18">
        <f t="shared" si="323"/>
        <v>1.1512239719205097</v>
      </c>
      <c r="V389" s="18">
        <f t="shared" si="324"/>
        <v>0.51834424246406663</v>
      </c>
      <c r="W389" s="32" t="str">
        <f t="shared" si="312"/>
        <v>1-0.787698538614617i</v>
      </c>
      <c r="X389" s="18">
        <f t="shared" si="325"/>
        <v>1.2729764285860141</v>
      </c>
      <c r="Y389" s="18">
        <f t="shared" si="326"/>
        <v>-0.66719491194779079</v>
      </c>
      <c r="Z389" s="32" t="str">
        <f t="shared" si="313"/>
        <v>0.989478928032418+0.386599757416127i</v>
      </c>
      <c r="AA389" s="18">
        <f t="shared" si="327"/>
        <v>1.06232194811855</v>
      </c>
      <c r="AB389" s="18">
        <f t="shared" si="328"/>
        <v>0.37247258219989993</v>
      </c>
      <c r="AC389" s="68" t="str">
        <f t="shared" si="329"/>
        <v>-0.129119948281151-0.229143092657199i</v>
      </c>
      <c r="AD389" s="66">
        <f t="shared" si="330"/>
        <v>-11.600287463134295</v>
      </c>
      <c r="AE389" s="63">
        <f t="shared" si="331"/>
        <v>-119.40084476777051</v>
      </c>
      <c r="AF389" s="51" t="e">
        <f t="shared" si="332"/>
        <v>#NUM!</v>
      </c>
      <c r="AG389" s="51" t="str">
        <f t="shared" si="314"/>
        <v>1-171.109605274512i</v>
      </c>
      <c r="AH389" s="51">
        <f t="shared" si="333"/>
        <v>171.11252735319908</v>
      </c>
      <c r="AI389" s="51">
        <f t="shared" si="334"/>
        <v>-1.564952186054174</v>
      </c>
      <c r="AJ389" s="51" t="str">
        <f t="shared" si="315"/>
        <v>1+0.570365350915038i</v>
      </c>
      <c r="AK389" s="51">
        <f t="shared" si="335"/>
        <v>1.1512239719205097</v>
      </c>
      <c r="AL389" s="51">
        <f t="shared" si="336"/>
        <v>0.51834424246406663</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-0.000170731707317073</v>
      </c>
      <c r="AT389" s="32" t="str">
        <f t="shared" si="318"/>
        <v>0.0122451318275545i</v>
      </c>
      <c r="AU389" s="32">
        <f t="shared" si="342"/>
        <v>1.22451318275545E-2</v>
      </c>
      <c r="AV389" s="32">
        <f t="shared" si="343"/>
        <v>1.5707963267948966</v>
      </c>
      <c r="AW389" s="32" t="str">
        <f t="shared" si="319"/>
        <v>1+2.60709371818791i</v>
      </c>
      <c r="AX389" s="32">
        <f t="shared" si="344"/>
        <v>2.7922997073048696</v>
      </c>
      <c r="AY389" s="32">
        <f t="shared" si="345"/>
        <v>1.2045344641273006</v>
      </c>
      <c r="AZ389" s="32" t="str">
        <f t="shared" si="320"/>
        <v>1+49.5347806455705i</v>
      </c>
      <c r="BA389" s="32">
        <f t="shared" si="346"/>
        <v>49.544873535056936</v>
      </c>
      <c r="BB389" s="32">
        <f t="shared" si="347"/>
        <v>1.5506112331977897</v>
      </c>
      <c r="BC389" s="60" t="str">
        <f t="shared" si="348"/>
        <v>-0.0839181314262348+0.232725256416831i</v>
      </c>
      <c r="BD389" s="51">
        <f t="shared" si="349"/>
        <v>-12.132251765668542</v>
      </c>
      <c r="BE389" s="63">
        <f t="shared" si="350"/>
        <v>109.82873825526255</v>
      </c>
      <c r="BF389" s="60" t="str">
        <f t="shared" si="351"/>
        <v>0.0641628897843986-0.0108202129072381i</v>
      </c>
      <c r="BG389" s="66">
        <f t="shared" si="352"/>
        <v>-23.732539228802835</v>
      </c>
      <c r="BH389" s="63">
        <f t="shared" si="353"/>
        <v>-9.5721065125079612</v>
      </c>
      <c r="BI389" s="60" t="e">
        <f t="shared" si="357"/>
        <v>#NUM!</v>
      </c>
      <c r="BJ389" s="66" t="e">
        <f t="shared" si="354"/>
        <v>#NUM!</v>
      </c>
      <c r="BK389" s="63" t="e">
        <f t="shared" si="358"/>
        <v>#NUM!</v>
      </c>
      <c r="BL389" s="51">
        <f t="shared" si="355"/>
        <v>-23.732539228802835</v>
      </c>
      <c r="BM389" s="63">
        <f t="shared" si="356"/>
        <v>-9.5721065125079612</v>
      </c>
    </row>
    <row r="390" spans="14:65" x14ac:dyDescent="0.3">
      <c r="N390" s="11">
        <v>72</v>
      </c>
      <c r="O390" s="52">
        <f t="shared" si="359"/>
        <v>52480.746024977314</v>
      </c>
      <c r="P390" s="50" t="str">
        <f t="shared" si="309"/>
        <v>23.3035714285714</v>
      </c>
      <c r="Q390" s="18" t="str">
        <f t="shared" si="310"/>
        <v>1+125.068042849524i</v>
      </c>
      <c r="R390" s="18">
        <f t="shared" si="321"/>
        <v>125.07204060944385</v>
      </c>
      <c r="S390" s="18">
        <f t="shared" si="322"/>
        <v>1.562800849549814</v>
      </c>
      <c r="T390" s="18" t="str">
        <f t="shared" si="311"/>
        <v>1+0.583650866631111i</v>
      </c>
      <c r="U390" s="18">
        <f t="shared" si="323"/>
        <v>1.1578636941018778</v>
      </c>
      <c r="V390" s="18">
        <f t="shared" si="324"/>
        <v>0.52831133172006284</v>
      </c>
      <c r="W390" s="32" t="str">
        <f t="shared" si="312"/>
        <v>1-0.806046394594127i</v>
      </c>
      <c r="X390" s="18">
        <f t="shared" si="325"/>
        <v>1.2844106781859885</v>
      </c>
      <c r="Y390" s="18">
        <f t="shared" si="326"/>
        <v>-0.67841690946799138</v>
      </c>
      <c r="Z390" s="32" t="str">
        <f t="shared" si="313"/>
        <v>0.988983085186647+0.395604822581361i</v>
      </c>
      <c r="AA390" s="18">
        <f t="shared" si="327"/>
        <v>1.0651716849573729</v>
      </c>
      <c r="AB390" s="18">
        <f t="shared" si="328"/>
        <v>0.38051647844955522</v>
      </c>
      <c r="AC390" s="68" t="str">
        <f t="shared" si="329"/>
        <v>-0.129849970805785-0.225412557512284i</v>
      </c>
      <c r="AD390" s="66">
        <f t="shared" si="330"/>
        <v>-11.695920405265166</v>
      </c>
      <c r="AE390" s="63">
        <f t="shared" si="331"/>
        <v>-119.94429723533329</v>
      </c>
      <c r="AF390" s="51" t="e">
        <f t="shared" si="332"/>
        <v>#NUM!</v>
      </c>
      <c r="AG390" s="51" t="str">
        <f t="shared" si="314"/>
        <v>1-175.095259989334i</v>
      </c>
      <c r="AH390" s="51">
        <f t="shared" si="333"/>
        <v>175.09811555448698</v>
      </c>
      <c r="AI390" s="51">
        <f t="shared" si="334"/>
        <v>-1.5650852120122354</v>
      </c>
      <c r="AJ390" s="51" t="str">
        <f t="shared" si="315"/>
        <v>1+0.583650866631111i</v>
      </c>
      <c r="AK390" s="51">
        <f t="shared" si="335"/>
        <v>1.1578636941018778</v>
      </c>
      <c r="AL390" s="51">
        <f t="shared" si="336"/>
        <v>0.52831133172006284</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-0.000170731707317073</v>
      </c>
      <c r="AT390" s="32" t="str">
        <f t="shared" si="318"/>
        <v>0.0125303575886905i</v>
      </c>
      <c r="AU390" s="32">
        <f t="shared" si="342"/>
        <v>1.25303575886905E-2</v>
      </c>
      <c r="AV390" s="32">
        <f t="shared" si="343"/>
        <v>1.5707963267948966</v>
      </c>
      <c r="AW390" s="32" t="str">
        <f t="shared" si="319"/>
        <v>1+2.66782073204086i</v>
      </c>
      <c r="AX390" s="32">
        <f t="shared" si="344"/>
        <v>2.8490818623386422</v>
      </c>
      <c r="AY390" s="32">
        <f t="shared" si="345"/>
        <v>1.2121678845918038</v>
      </c>
      <c r="AZ390" s="32" t="str">
        <f t="shared" si="320"/>
        <v>1+50.6885939087765i</v>
      </c>
      <c r="BA390" s="32">
        <f t="shared" si="346"/>
        <v>50.698457101265454</v>
      </c>
      <c r="BB390" s="32">
        <f t="shared" si="347"/>
        <v>1.5510705814574259</v>
      </c>
      <c r="BC390" s="60" t="str">
        <f t="shared" si="348"/>
        <v>-0.0806064900842543+0.228669111115007i</v>
      </c>
      <c r="BD390" s="51">
        <f t="shared" si="349"/>
        <v>-12.307189338363356</v>
      </c>
      <c r="BE390" s="63">
        <f t="shared" si="350"/>
        <v>109.41769419600165</v>
      </c>
      <c r="BF390" s="60" t="str">
        <f t="shared" si="351"/>
        <v>0.0620116395446916-0.0115229623204881i</v>
      </c>
      <c r="BG390" s="66">
        <f t="shared" si="352"/>
        <v>-24.003109743628524</v>
      </c>
      <c r="BH390" s="63">
        <f t="shared" si="353"/>
        <v>-10.52660303933161</v>
      </c>
      <c r="BI390" s="60" t="e">
        <f t="shared" si="357"/>
        <v>#NUM!</v>
      </c>
      <c r="BJ390" s="66" t="e">
        <f t="shared" si="354"/>
        <v>#NUM!</v>
      </c>
      <c r="BK390" s="63" t="e">
        <f t="shared" si="358"/>
        <v>#NUM!</v>
      </c>
      <c r="BL390" s="51">
        <f t="shared" si="355"/>
        <v>-24.003109743628524</v>
      </c>
      <c r="BM390" s="63">
        <f t="shared" si="356"/>
        <v>-10.52660303933161</v>
      </c>
    </row>
    <row r="391" spans="14:65" x14ac:dyDescent="0.3">
      <c r="N391" s="11">
        <v>73</v>
      </c>
      <c r="O391" s="52">
        <f t="shared" si="359"/>
        <v>53703.179637025423</v>
      </c>
      <c r="P391" s="50" t="str">
        <f t="shared" si="309"/>
        <v>23.3035714285714</v>
      </c>
      <c r="Q391" s="18" t="str">
        <f t="shared" si="310"/>
        <v>1+127.981251806187i</v>
      </c>
      <c r="R391" s="18">
        <f t="shared" si="321"/>
        <v>127.98515856879126</v>
      </c>
      <c r="S391" s="18">
        <f t="shared" si="322"/>
        <v>1.5629828413380851</v>
      </c>
      <c r="T391" s="18" t="str">
        <f t="shared" si="311"/>
        <v>1+0.597245841762206i</v>
      </c>
      <c r="U391" s="18">
        <f t="shared" si="323"/>
        <v>1.1647757704821329</v>
      </c>
      <c r="V391" s="18">
        <f t="shared" si="324"/>
        <v>0.53839192304652306</v>
      </c>
      <c r="W391" s="32" t="str">
        <f t="shared" si="312"/>
        <v>1-0.824821627041339i</v>
      </c>
      <c r="X391" s="18">
        <f t="shared" si="325"/>
        <v>1.2962757100382316</v>
      </c>
      <c r="Y391" s="18">
        <f t="shared" si="326"/>
        <v>-0.68969390054443724</v>
      </c>
      <c r="Z391" s="32" t="str">
        <f t="shared" si="313"/>
        <v>0.988463873987493+0.404819642659979i</v>
      </c>
      <c r="AA391" s="18">
        <f t="shared" si="327"/>
        <v>1.0681478236937598</v>
      </c>
      <c r="AB391" s="18">
        <f t="shared" si="328"/>
        <v>0.38870695899235452</v>
      </c>
      <c r="AC391" s="68" t="str">
        <f t="shared" si="329"/>
        <v>-0.130600325582357-0.22178126564459i</v>
      </c>
      <c r="AD391" s="66">
        <f t="shared" si="330"/>
        <v>-11.788575501049438</v>
      </c>
      <c r="AE391" s="63">
        <f t="shared" si="331"/>
        <v>-120.49255322027842</v>
      </c>
      <c r="AF391" s="51" t="e">
        <f t="shared" si="332"/>
        <v>#NUM!</v>
      </c>
      <c r="AG391" s="51" t="str">
        <f t="shared" si="314"/>
        <v>1-179.173752528662i</v>
      </c>
      <c r="AH391" s="51">
        <f t="shared" si="333"/>
        <v>179.17654309424046</v>
      </c>
      <c r="AI391" s="51">
        <f t="shared" si="334"/>
        <v>-1.5652152101251207</v>
      </c>
      <c r="AJ391" s="51" t="str">
        <f t="shared" si="315"/>
        <v>1+0.597245841762206i</v>
      </c>
      <c r="AK391" s="51">
        <f t="shared" si="335"/>
        <v>1.1647757704821329</v>
      </c>
      <c r="AL391" s="51">
        <f t="shared" si="336"/>
        <v>0.53839192304652306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-0.000170731707317073</v>
      </c>
      <c r="AT391" s="32" t="str">
        <f t="shared" si="318"/>
        <v>0.012822227111279i</v>
      </c>
      <c r="AU391" s="32">
        <f t="shared" si="342"/>
        <v>1.2822227111279E-2</v>
      </c>
      <c r="AV391" s="32">
        <f t="shared" si="343"/>
        <v>1.5707963267948966</v>
      </c>
      <c r="AW391" s="32" t="str">
        <f t="shared" si="319"/>
        <v>1+2.72996225975873i</v>
      </c>
      <c r="AX391" s="32">
        <f t="shared" si="344"/>
        <v>2.9073517055401106</v>
      </c>
      <c r="AY391" s="32">
        <f t="shared" si="345"/>
        <v>1.2196699958366843</v>
      </c>
      <c r="AZ391" s="32" t="str">
        <f t="shared" si="320"/>
        <v>1+51.869282935416i</v>
      </c>
      <c r="BA391" s="32">
        <f t="shared" si="346"/>
        <v>51.878921656432276</v>
      </c>
      <c r="BB391" s="32">
        <f t="shared" si="347"/>
        <v>1.5515194817189588</v>
      </c>
      <c r="BC391" s="60" t="str">
        <f t="shared" si="348"/>
        <v>-0.0774077996383653+0.224635664344333i</v>
      </c>
      <c r="BD391" s="51">
        <f t="shared" si="349"/>
        <v>-12.483118267045306</v>
      </c>
      <c r="BE391" s="63">
        <f t="shared" si="350"/>
        <v>109.01357497464048</v>
      </c>
      <c r="BF391" s="60" t="str">
        <f t="shared" si="351"/>
        <v>0.0599294657825838-0.0121698911262195i</v>
      </c>
      <c r="BG391" s="66">
        <f t="shared" si="352"/>
        <v>-24.27169376809475</v>
      </c>
      <c r="BH391" s="63">
        <f t="shared" si="353"/>
        <v>-11.478978245637997</v>
      </c>
      <c r="BI391" s="60" t="e">
        <f t="shared" si="357"/>
        <v>#NUM!</v>
      </c>
      <c r="BJ391" s="66" t="e">
        <f t="shared" si="354"/>
        <v>#NUM!</v>
      </c>
      <c r="BK391" s="63" t="e">
        <f t="shared" si="358"/>
        <v>#NUM!</v>
      </c>
      <c r="BL391" s="51">
        <f t="shared" si="355"/>
        <v>-24.27169376809475</v>
      </c>
      <c r="BM391" s="63">
        <f t="shared" si="356"/>
        <v>-11.478978245637997</v>
      </c>
    </row>
    <row r="392" spans="14:65" x14ac:dyDescent="0.3">
      <c r="N392" s="11">
        <v>74</v>
      </c>
      <c r="O392" s="52">
        <f t="shared" si="359"/>
        <v>54954.087385762505</v>
      </c>
      <c r="P392" s="50" t="str">
        <f t="shared" si="309"/>
        <v>23.3035714285714</v>
      </c>
      <c r="Q392" s="18" t="str">
        <f t="shared" si="310"/>
        <v>1+130.96231811659i</v>
      </c>
      <c r="R392" s="18">
        <f t="shared" si="321"/>
        <v>130.96613595304291</v>
      </c>
      <c r="S392" s="18">
        <f t="shared" si="322"/>
        <v>1.5631606909876345</v>
      </c>
      <c r="T392" s="18" t="str">
        <f t="shared" si="311"/>
        <v>1+0.611157484544085i</v>
      </c>
      <c r="U392" s="18">
        <f t="shared" si="323"/>
        <v>1.1719699104133405</v>
      </c>
      <c r="V392" s="18">
        <f t="shared" si="324"/>
        <v>0.5485831657814606</v>
      </c>
      <c r="W392" s="32" t="str">
        <f t="shared" si="312"/>
        <v>1-0.84403419083301i</v>
      </c>
      <c r="X392" s="18">
        <f t="shared" si="325"/>
        <v>1.3085846229018334</v>
      </c>
      <c r="Y392" s="18">
        <f t="shared" si="326"/>
        <v>-0.70102039228511981</v>
      </c>
      <c r="Z392" s="32" t="str">
        <f t="shared" si="313"/>
        <v>0.987920193118392+0.414249103471554i</v>
      </c>
      <c r="AA392" s="18">
        <f t="shared" si="327"/>
        <v>1.0712556313495241</v>
      </c>
      <c r="AB392" s="18">
        <f t="shared" si="328"/>
        <v>0.39704500266472442</v>
      </c>
      <c r="AC392" s="68" t="str">
        <f t="shared" si="329"/>
        <v>-0.131371669582335-0.218246206466794i</v>
      </c>
      <c r="AD392" s="66">
        <f t="shared" si="330"/>
        <v>-11.878227464996929</v>
      </c>
      <c r="AE392" s="63">
        <f t="shared" si="331"/>
        <v>-121.04552294313361</v>
      </c>
      <c r="AF392" s="51" t="e">
        <f t="shared" si="332"/>
        <v>#NUM!</v>
      </c>
      <c r="AG392" s="51" t="str">
        <f t="shared" si="314"/>
        <v>1-183.347245363226i</v>
      </c>
      <c r="AH392" s="51">
        <f t="shared" si="333"/>
        <v>183.34997240873258</v>
      </c>
      <c r="AI392" s="51">
        <f t="shared" si="334"/>
        <v>-1.5653422493019651</v>
      </c>
      <c r="AJ392" s="51" t="str">
        <f t="shared" si="315"/>
        <v>1+0.611157484544085i</v>
      </c>
      <c r="AK392" s="51">
        <f t="shared" si="335"/>
        <v>1.1719699104133405</v>
      </c>
      <c r="AL392" s="51">
        <f t="shared" si="336"/>
        <v>0.5485831657814606</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-0.000170731707317073</v>
      </c>
      <c r="AT392" s="32" t="str">
        <f t="shared" si="318"/>
        <v>0.0131208951484041i</v>
      </c>
      <c r="AU392" s="32">
        <f t="shared" si="342"/>
        <v>1.31208951484041E-2</v>
      </c>
      <c r="AV392" s="32">
        <f t="shared" si="343"/>
        <v>1.5707963267948966</v>
      </c>
      <c r="AW392" s="32" t="str">
        <f t="shared" si="319"/>
        <v>1+2.79355124960204i</v>
      </c>
      <c r="AX392" s="32">
        <f t="shared" si="344"/>
        <v>2.9671414836763543</v>
      </c>
      <c r="AY392" s="32">
        <f t="shared" si="345"/>
        <v>1.2270413967402023</v>
      </c>
      <c r="AZ392" s="32" t="str">
        <f t="shared" si="320"/>
        <v>1+53.0774737424388i</v>
      </c>
      <c r="BA392" s="32">
        <f t="shared" si="346"/>
        <v>53.08689309876101</v>
      </c>
      <c r="BB392" s="32">
        <f t="shared" si="347"/>
        <v>1.5519581712711659</v>
      </c>
      <c r="BC392" s="60" t="str">
        <f t="shared" si="348"/>
        <v>-0.0743195986467901+0.220627807324183i</v>
      </c>
      <c r="BD392" s="51">
        <f t="shared" si="349"/>
        <v>-12.660004561887089</v>
      </c>
      <c r="BE392" s="63">
        <f t="shared" si="350"/>
        <v>108.61635987362803</v>
      </c>
      <c r="BF392" s="60" t="str">
        <f t="shared" si="351"/>
        <v>0.0579146717465075-0.012764272933671i</v>
      </c>
      <c r="BG392" s="66">
        <f t="shared" si="352"/>
        <v>-24.538232026884028</v>
      </c>
      <c r="BH392" s="63">
        <f t="shared" si="353"/>
        <v>-12.429163069505538</v>
      </c>
      <c r="BI392" s="60" t="e">
        <f t="shared" si="357"/>
        <v>#NUM!</v>
      </c>
      <c r="BJ392" s="66" t="e">
        <f t="shared" si="354"/>
        <v>#NUM!</v>
      </c>
      <c r="BK392" s="63" t="e">
        <f t="shared" si="358"/>
        <v>#NUM!</v>
      </c>
      <c r="BL392" s="51">
        <f t="shared" si="355"/>
        <v>-24.538232026884028</v>
      </c>
      <c r="BM392" s="63">
        <f t="shared" si="356"/>
        <v>-12.429163069505538</v>
      </c>
    </row>
    <row r="393" spans="14:65" x14ac:dyDescent="0.3">
      <c r="N393" s="11">
        <v>75</v>
      </c>
      <c r="O393" s="52">
        <f t="shared" si="359"/>
        <v>56234.132519034953</v>
      </c>
      <c r="P393" s="50" t="str">
        <f t="shared" si="309"/>
        <v>23.3035714285714</v>
      </c>
      <c r="Q393" s="18" t="str">
        <f t="shared" si="310"/>
        <v>1+134.012822381549i</v>
      </c>
      <c r="R393" s="18">
        <f t="shared" si="321"/>
        <v>134.01655331588185</v>
      </c>
      <c r="S393" s="18">
        <f t="shared" si="322"/>
        <v>1.5633344927516712</v>
      </c>
      <c r="T393" s="18" t="str">
        <f t="shared" si="311"/>
        <v>1+0.625393171113895i</v>
      </c>
      <c r="U393" s="18">
        <f t="shared" si="323"/>
        <v>1.1794560689046005</v>
      </c>
      <c r="V393" s="18">
        <f t="shared" si="324"/>
        <v>0.55888199517454318</v>
      </c>
      <c r="W393" s="32" t="str">
        <f t="shared" si="312"/>
        <v>1-0.863694272724776i</v>
      </c>
      <c r="X393" s="18">
        <f t="shared" si="325"/>
        <v>1.3213507470530221</v>
      </c>
      <c r="Y393" s="18">
        <f t="shared" si="326"/>
        <v>-0.7123907663735124</v>
      </c>
      <c r="Z393" s="32" t="str">
        <f t="shared" si="313"/>
        <v>0.987350889359326+0.423898204641026i</v>
      </c>
      <c r="AA393" s="18">
        <f t="shared" si="327"/>
        <v>1.0745005661313247</v>
      </c>
      <c r="AB393" s="18">
        <f t="shared" si="328"/>
        <v>0.40553148654209503</v>
      </c>
      <c r="AC393" s="68" t="str">
        <f t="shared" si="329"/>
        <v>-0.132164637061658-0.214804376999734i</v>
      </c>
      <c r="AD393" s="66">
        <f t="shared" si="330"/>
        <v>-11.964854488266409</v>
      </c>
      <c r="AE393" s="63">
        <f t="shared" si="331"/>
        <v>-121.60311574836481</v>
      </c>
      <c r="AF393" s="51" t="e">
        <f t="shared" si="332"/>
        <v>#NUM!</v>
      </c>
      <c r="AG393" s="51" t="str">
        <f t="shared" si="314"/>
        <v>1-187.617951334169i</v>
      </c>
      <c r="AH393" s="51">
        <f t="shared" si="333"/>
        <v>187.62061630543323</v>
      </c>
      <c r="AI393" s="51">
        <f t="shared" si="334"/>
        <v>-1.5654663968842097</v>
      </c>
      <c r="AJ393" s="51" t="str">
        <f t="shared" si="315"/>
        <v>1+0.625393171113895i</v>
      </c>
      <c r="AK393" s="51">
        <f t="shared" si="335"/>
        <v>1.1794560689046005</v>
      </c>
      <c r="AL393" s="51">
        <f t="shared" si="336"/>
        <v>0.55888199517454318</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-0.000170731707317073</v>
      </c>
      <c r="AT393" s="32" t="str">
        <f t="shared" si="318"/>
        <v>0.0134265200578124i</v>
      </c>
      <c r="AU393" s="32">
        <f t="shared" si="342"/>
        <v>1.34265200578124E-2</v>
      </c>
      <c r="AV393" s="32">
        <f t="shared" si="343"/>
        <v>1.5707963267948966</v>
      </c>
      <c r="AW393" s="32" t="str">
        <f t="shared" si="319"/>
        <v>1+2.85862141729491i</v>
      </c>
      <c r="AX393" s="32">
        <f t="shared" si="344"/>
        <v>3.0284841765175465</v>
      </c>
      <c r="AY393" s="32">
        <f t="shared" si="345"/>
        <v>1.2342827903959168</v>
      </c>
      <c r="AZ393" s="32" t="str">
        <f t="shared" si="320"/>
        <v>1+54.3138069286033i</v>
      </c>
      <c r="BA393" s="32">
        <f t="shared" si="346"/>
        <v>54.323011910953497</v>
      </c>
      <c r="BB393" s="32">
        <f t="shared" si="347"/>
        <v>1.5523868820372657</v>
      </c>
      <c r="BC393" s="60" t="str">
        <f t="shared" si="348"/>
        <v>-0.0713393665726657+0.216648247009781i</v>
      </c>
      <c r="BD393" s="51">
        <f t="shared" si="349"/>
        <v>-12.837814987532653</v>
      </c>
      <c r="BE393" s="63">
        <f t="shared" si="350"/>
        <v>108.22602189689208</v>
      </c>
      <c r="BF393" s="60" t="str">
        <f t="shared" si="351"/>
        <v>0.0559655332183054-0.013309228743895i</v>
      </c>
      <c r="BG393" s="66">
        <f t="shared" si="352"/>
        <v>-24.802669475799068</v>
      </c>
      <c r="BH393" s="63">
        <f t="shared" si="353"/>
        <v>-13.377093851472697</v>
      </c>
      <c r="BI393" s="60" t="e">
        <f t="shared" si="357"/>
        <v>#NUM!</v>
      </c>
      <c r="BJ393" s="66" t="e">
        <f t="shared" si="354"/>
        <v>#NUM!</v>
      </c>
      <c r="BK393" s="63" t="e">
        <f t="shared" si="358"/>
        <v>#NUM!</v>
      </c>
      <c r="BL393" s="51">
        <f t="shared" si="355"/>
        <v>-24.802669475799068</v>
      </c>
      <c r="BM393" s="63">
        <f t="shared" si="356"/>
        <v>-13.377093851472697</v>
      </c>
    </row>
    <row r="394" spans="14:65" x14ac:dyDescent="0.3">
      <c r="N394" s="11">
        <v>76</v>
      </c>
      <c r="O394" s="52">
        <f t="shared" si="359"/>
        <v>57543.993733715732</v>
      </c>
      <c r="P394" s="50" t="str">
        <f t="shared" si="309"/>
        <v>23.3035714285714</v>
      </c>
      <c r="Q394" s="18" t="str">
        <f t="shared" si="310"/>
        <v>1+137.134382018804i</v>
      </c>
      <c r="R394" s="18">
        <f t="shared" si="321"/>
        <v>137.13802802898718</v>
      </c>
      <c r="S394" s="18">
        <f t="shared" si="322"/>
        <v>1.5635043387401666</v>
      </c>
      <c r="T394" s="18" t="str">
        <f t="shared" si="311"/>
        <v>1+0.639960449421087i</v>
      </c>
      <c r="U394" s="18">
        <f t="shared" si="323"/>
        <v>1.1872444469540548</v>
      </c>
      <c r="V394" s="18">
        <f t="shared" si="324"/>
        <v>0.56928513258113134</v>
      </c>
      <c r="W394" s="32" t="str">
        <f t="shared" si="312"/>
        <v>1-0.883812296752286i</v>
      </c>
      <c r="X394" s="18">
        <f t="shared" si="325"/>
        <v>1.3345876426411833</v>
      </c>
      <c r="Y394" s="18">
        <f t="shared" si="326"/>
        <v>-0.72379929219219707</v>
      </c>
      <c r="Z394" s="32" t="str">
        <f t="shared" si="313"/>
        <v>0.986754755140696+0.433772062249556i</v>
      </c>
      <c r="AA394" s="18">
        <f t="shared" si="327"/>
        <v>1.0778882821429165</v>
      </c>
      <c r="AB394" s="18">
        <f t="shared" si="328"/>
        <v>0.41416717937069714</v>
      </c>
      <c r="AC394" s="68" t="str">
        <f t="shared" si="329"/>
        <v>-0.132979837065778-0.211452780166513i</v>
      </c>
      <c r="AD394" s="66">
        <f t="shared" si="330"/>
        <v>-12.048438400939652</v>
      </c>
      <c r="AE394" s="63">
        <f t="shared" si="331"/>
        <v>-122.16524047170762</v>
      </c>
      <c r="AF394" s="51" t="e">
        <f t="shared" si="332"/>
        <v>#NUM!</v>
      </c>
      <c r="AG394" s="51" t="str">
        <f t="shared" si="314"/>
        <v>1-191.988134826327i</v>
      </c>
      <c r="AH394" s="51">
        <f t="shared" si="333"/>
        <v>191.99073913627166</v>
      </c>
      <c r="AI394" s="51">
        <f t="shared" si="334"/>
        <v>-1.5655877186812299</v>
      </c>
      <c r="AJ394" s="51" t="str">
        <f t="shared" si="315"/>
        <v>1+0.639960449421087i</v>
      </c>
      <c r="AK394" s="51">
        <f t="shared" si="335"/>
        <v>1.1872444469540548</v>
      </c>
      <c r="AL394" s="51">
        <f t="shared" si="336"/>
        <v>0.56928513258113134</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-0.000170731707317073</v>
      </c>
      <c r="AT394" s="32" t="str">
        <f t="shared" si="318"/>
        <v>0.0137392638858764i</v>
      </c>
      <c r="AU394" s="32">
        <f t="shared" si="342"/>
        <v>1.37392638858764E-2</v>
      </c>
      <c r="AV394" s="32">
        <f t="shared" si="343"/>
        <v>1.5707963267948966</v>
      </c>
      <c r="AW394" s="32" t="str">
        <f t="shared" si="319"/>
        <v>1+2.92520726390156i</v>
      </c>
      <c r="AX394" s="32">
        <f t="shared" si="344"/>
        <v>3.0914135175971604</v>
      </c>
      <c r="AY394" s="32">
        <f t="shared" si="345"/>
        <v>1.2413949775573871</v>
      </c>
      <c r="AZ394" s="32" t="str">
        <f t="shared" si="320"/>
        <v>1+55.5789380141297i</v>
      </c>
      <c r="BA394" s="32">
        <f t="shared" si="346"/>
        <v>55.587933499802553</v>
      </c>
      <c r="BB394" s="32">
        <f t="shared" si="347"/>
        <v>1.5528058406946676</v>
      </c>
      <c r="BC394" s="60" t="str">
        <f t="shared" si="348"/>
        <v>-0.0684645350902926+0.212699509563665i</v>
      </c>
      <c r="BD394" s="51">
        <f t="shared" si="349"/>
        <v>-13.016517079741</v>
      </c>
      <c r="BE394" s="63">
        <f t="shared" si="350"/>
        <v>107.84252815229233</v>
      </c>
      <c r="BF394" s="60" t="str">
        <f t="shared" si="351"/>
        <v>0.0540803053583821-0.0138077298380969i</v>
      </c>
      <c r="BG394" s="66">
        <f t="shared" si="352"/>
        <v>-25.064955480680652</v>
      </c>
      <c r="BH394" s="63">
        <f t="shared" si="353"/>
        <v>-14.322712319415288</v>
      </c>
      <c r="BI394" s="60" t="e">
        <f t="shared" si="357"/>
        <v>#NUM!</v>
      </c>
      <c r="BJ394" s="66" t="e">
        <f t="shared" si="354"/>
        <v>#NUM!</v>
      </c>
      <c r="BK394" s="63" t="e">
        <f t="shared" si="358"/>
        <v>#NUM!</v>
      </c>
      <c r="BL394" s="51">
        <f t="shared" si="355"/>
        <v>-25.064955480680652</v>
      </c>
      <c r="BM394" s="63">
        <f t="shared" si="356"/>
        <v>-14.322712319415288</v>
      </c>
    </row>
    <row r="395" spans="14:65" x14ac:dyDescent="0.3">
      <c r="N395" s="11">
        <v>77</v>
      </c>
      <c r="O395" s="52">
        <f t="shared" si="359"/>
        <v>58884.365535558936</v>
      </c>
      <c r="P395" s="50" t="str">
        <f t="shared" si="309"/>
        <v>23.3035714285714</v>
      </c>
      <c r="Q395" s="18" t="str">
        <f t="shared" si="310"/>
        <v>1+140.328652120594i</v>
      </c>
      <c r="R395" s="18">
        <f t="shared" si="321"/>
        <v>140.33221513958472</v>
      </c>
      <c r="S395" s="18">
        <f t="shared" si="322"/>
        <v>1.563670318968492</v>
      </c>
      <c r="T395" s="18" t="str">
        <f t="shared" si="311"/>
        <v>1+0.654867043229441i</v>
      </c>
      <c r="U395" s="18">
        <f t="shared" si="323"/>
        <v>1.1953454916082089</v>
      </c>
      <c r="V395" s="18">
        <f t="shared" si="324"/>
        <v>0.57978908652461469</v>
      </c>
      <c r="W395" s="32" t="str">
        <f t="shared" si="312"/>
        <v>1-0.904398929758173i</v>
      </c>
      <c r="X395" s="18">
        <f t="shared" si="325"/>
        <v>1.3483090981476498</v>
      </c>
      <c r="Y395" s="18">
        <f t="shared" si="326"/>
        <v>-0.73524014063571763</v>
      </c>
      <c r="Z395" s="32" t="str">
        <f t="shared" si="313"/>
        <v>0.986130525981899+0.443875911547141i</v>
      </c>
      <c r="AA395" s="18">
        <f t="shared" si="327"/>
        <v>1.0814246340476725</v>
      </c>
      <c r="AB395" s="18">
        <f t="shared" si="328"/>
        <v>0.42295273493312074</v>
      </c>
      <c r="AC395" s="68" t="str">
        <f t="shared" si="329"/>
        <v>-0.133817850782823-0.208188423274857i</v>
      </c>
      <c r="AD395" s="66">
        <f t="shared" si="330"/>
        <v>-12.128964824344495</v>
      </c>
      <c r="AE395" s="63">
        <f t="shared" si="331"/>
        <v>-122.73180579337922</v>
      </c>
      <c r="AF395" s="51" t="e">
        <f t="shared" si="332"/>
        <v>#NUM!</v>
      </c>
      <c r="AG395" s="51" t="str">
        <f t="shared" si="314"/>
        <v>1-196.460112968833i</v>
      </c>
      <c r="AH395" s="51">
        <f t="shared" si="333"/>
        <v>196.46265799822268</v>
      </c>
      <c r="AI395" s="51">
        <f t="shared" si="334"/>
        <v>-1.5657062790051541</v>
      </c>
      <c r="AJ395" s="51" t="str">
        <f t="shared" si="315"/>
        <v>1+0.654867043229441i</v>
      </c>
      <c r="AK395" s="51">
        <f t="shared" si="335"/>
        <v>1.1953454916082089</v>
      </c>
      <c r="AL395" s="51">
        <f t="shared" si="336"/>
        <v>0.57978908652461469</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-0.000170731707317073</v>
      </c>
      <c r="AT395" s="32" t="str">
        <f t="shared" si="318"/>
        <v>0.0140592924535134i</v>
      </c>
      <c r="AU395" s="32">
        <f t="shared" si="342"/>
        <v>1.40592924535134E-2</v>
      </c>
      <c r="AV395" s="32">
        <f t="shared" si="343"/>
        <v>1.5707963267948966</v>
      </c>
      <c r="AW395" s="32" t="str">
        <f t="shared" si="319"/>
        <v>1+2.99334409411922i</v>
      </c>
      <c r="AX395" s="32">
        <f t="shared" si="344"/>
        <v>3.1559640152888959</v>
      </c>
      <c r="AY395" s="32">
        <f t="shared" si="345"/>
        <v>1.2483788502174786</v>
      </c>
      <c r="AZ395" s="32" t="str">
        <f t="shared" si="320"/>
        <v>1+56.8735377882653i</v>
      </c>
      <c r="BA395" s="32">
        <f t="shared" si="346"/>
        <v>56.882328543698364</v>
      </c>
      <c r="BB395" s="32">
        <f t="shared" si="347"/>
        <v>1.5532152687921537</v>
      </c>
      <c r="BC395" s="60" t="str">
        <f t="shared" si="348"/>
        <v>-0.0656924987171627+0.208783944353364i</v>
      </c>
      <c r="BD395" s="51">
        <f t="shared" si="349"/>
        <v>-13.196079158661544</v>
      </c>
      <c r="BE395" s="63">
        <f t="shared" si="350"/>
        <v>107.46584022621229</v>
      </c>
      <c r="BF395" s="60" t="str">
        <f t="shared" si="351"/>
        <v>0.0522572291709164-0.014262600982416i</v>
      </c>
      <c r="BG395" s="66">
        <f t="shared" si="352"/>
        <v>-25.325043983006044</v>
      </c>
      <c r="BH395" s="63">
        <f t="shared" si="353"/>
        <v>-15.265965567166925</v>
      </c>
      <c r="BI395" s="60" t="e">
        <f t="shared" si="357"/>
        <v>#NUM!</v>
      </c>
      <c r="BJ395" s="66" t="e">
        <f t="shared" si="354"/>
        <v>#NUM!</v>
      </c>
      <c r="BK395" s="63" t="e">
        <f t="shared" si="358"/>
        <v>#NUM!</v>
      </c>
      <c r="BL395" s="51">
        <f t="shared" si="355"/>
        <v>-25.325043983006044</v>
      </c>
      <c r="BM395" s="63">
        <f t="shared" si="356"/>
        <v>-15.265965567166925</v>
      </c>
    </row>
    <row r="396" spans="14:65" x14ac:dyDescent="0.3">
      <c r="N396" s="11">
        <v>78</v>
      </c>
      <c r="O396" s="52">
        <f t="shared" si="359"/>
        <v>60255.95860743591</v>
      </c>
      <c r="P396" s="50" t="str">
        <f t="shared" si="309"/>
        <v>23.3035714285714</v>
      </c>
      <c r="Q396" s="18" t="str">
        <f t="shared" si="310"/>
        <v>1+143.597326331208i</v>
      </c>
      <c r="R396" s="18">
        <f t="shared" si="321"/>
        <v>143.60080824797416</v>
      </c>
      <c r="S396" s="18">
        <f t="shared" si="322"/>
        <v>1.5638325214049589</v>
      </c>
      <c r="T396" s="18" t="str">
        <f t="shared" si="311"/>
        <v>1+0.670120856212306i</v>
      </c>
      <c r="U396" s="18">
        <f t="shared" si="323"/>
        <v>1.2037698957569565</v>
      </c>
      <c r="V396" s="18">
        <f t="shared" si="324"/>
        <v>0.59039015466412925</v>
      </c>
      <c r="W396" s="32" t="str">
        <f t="shared" si="312"/>
        <v>1-0.925465087047754i</v>
      </c>
      <c r="X396" s="18">
        <f t="shared" si="325"/>
        <v>1.3625291289892876</v>
      </c>
      <c r="Y396" s="18">
        <f t="shared" si="326"/>
        <v>-0.74670739853570978</v>
      </c>
      <c r="Z396" s="32" t="str">
        <f t="shared" si="313"/>
        <v>0.985476877809196+0.454215109728423i</v>
      </c>
      <c r="AA396" s="18">
        <f t="shared" si="327"/>
        <v>1.0851156816681642</v>
      </c>
      <c r="AB396" s="18">
        <f t="shared" si="328"/>
        <v>0.43188868537545333</v>
      </c>
      <c r="AC396" s="68" t="str">
        <f t="shared" si="329"/>
        <v>-0.134679228752229-0.205008316705103i</v>
      </c>
      <c r="AD396" s="66">
        <f t="shared" si="330"/>
        <v>-12.206423312096232</v>
      </c>
      <c r="AE396" s="63">
        <f t="shared" si="331"/>
        <v>-123.30272057223185</v>
      </c>
      <c r="AF396" s="51" t="e">
        <f t="shared" si="332"/>
        <v>#NUM!</v>
      </c>
      <c r="AG396" s="51" t="str">
        <f t="shared" si="314"/>
        <v>1-201.036256863692i</v>
      </c>
      <c r="AH396" s="51">
        <f t="shared" si="333"/>
        <v>201.03874396186507</v>
      </c>
      <c r="AI396" s="51">
        <f t="shared" si="334"/>
        <v>-1.5658221407048953</v>
      </c>
      <c r="AJ396" s="51" t="str">
        <f t="shared" si="315"/>
        <v>1+0.670120856212306i</v>
      </c>
      <c r="AK396" s="51">
        <f t="shared" si="335"/>
        <v>1.2037698957569565</v>
      </c>
      <c r="AL396" s="51">
        <f t="shared" si="336"/>
        <v>0.59039015466412925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-0.000170731707317073</v>
      </c>
      <c r="AT396" s="32" t="str">
        <f t="shared" si="318"/>
        <v>0.014386775444106i</v>
      </c>
      <c r="AU396" s="32">
        <f t="shared" si="342"/>
        <v>1.4386775444105999E-2</v>
      </c>
      <c r="AV396" s="32">
        <f t="shared" si="343"/>
        <v>1.5707963267948966</v>
      </c>
      <c r="AW396" s="32" t="str">
        <f t="shared" si="319"/>
        <v>1+3.06306803499719i</v>
      </c>
      <c r="AX396" s="32">
        <f t="shared" si="344"/>
        <v>3.2221709742069158</v>
      </c>
      <c r="AY396" s="32">
        <f t="shared" si="345"/>
        <v>1.255235385339458</v>
      </c>
      <c r="AZ396" s="32" t="str">
        <f t="shared" si="320"/>
        <v>1+58.1982926649467i</v>
      </c>
      <c r="BA396" s="32">
        <f t="shared" si="346"/>
        <v>58.206883348232871</v>
      </c>
      <c r="BB396" s="32">
        <f t="shared" si="347"/>
        <v>1.5536153828645414</v>
      </c>
      <c r="BC396" s="60" t="str">
        <f t="shared" si="348"/>
        <v>-0.063020624768844+0.204903728403785i</v>
      </c>
      <c r="BD396" s="51">
        <f t="shared" si="349"/>
        <v>-13.376470338949652</v>
      </c>
      <c r="BE396" s="63">
        <f t="shared" si="350"/>
        <v>107.0959145493112</v>
      </c>
      <c r="BF396" s="60" t="str">
        <f t="shared" si="351"/>
        <v>0.0504945375860111-0.0146765239083133i</v>
      </c>
      <c r="BG396" s="66">
        <f t="shared" si="352"/>
        <v>-25.582893651045886</v>
      </c>
      <c r="BH396" s="63">
        <f t="shared" si="353"/>
        <v>-16.206806022920585</v>
      </c>
      <c r="BI396" s="60" t="e">
        <f t="shared" si="357"/>
        <v>#NUM!</v>
      </c>
      <c r="BJ396" s="66" t="e">
        <f t="shared" si="354"/>
        <v>#NUM!</v>
      </c>
      <c r="BK396" s="63" t="e">
        <f t="shared" si="358"/>
        <v>#NUM!</v>
      </c>
      <c r="BL396" s="51">
        <f t="shared" si="355"/>
        <v>-25.582893651045886</v>
      </c>
      <c r="BM396" s="63">
        <f t="shared" si="356"/>
        <v>-16.206806022920585</v>
      </c>
    </row>
    <row r="397" spans="14:65" x14ac:dyDescent="0.3">
      <c r="N397" s="11">
        <v>79</v>
      </c>
      <c r="O397" s="52">
        <f t="shared" si="359"/>
        <v>61659.500186148245</v>
      </c>
      <c r="P397" s="50" t="str">
        <f t="shared" si="309"/>
        <v>23.3035714285714</v>
      </c>
      <c r="Q397" s="18" t="str">
        <f t="shared" si="310"/>
        <v>1+146.942137744978i</v>
      </c>
      <c r="R397" s="18">
        <f t="shared" si="321"/>
        <v>146.94554040549883</v>
      </c>
      <c r="S397" s="18">
        <f t="shared" si="322"/>
        <v>1.5639910320172872</v>
      </c>
      <c r="T397" s="18" t="str">
        <f t="shared" si="311"/>
        <v>1+0.68572997614323i</v>
      </c>
      <c r="U397" s="18">
        <f t="shared" si="323"/>
        <v>1.2125285976756981</v>
      </c>
      <c r="V397" s="18">
        <f t="shared" si="324"/>
        <v>0.60108442669919115</v>
      </c>
      <c r="W397" s="32" t="str">
        <f t="shared" si="312"/>
        <v>1-0.947021938176463i</v>
      </c>
      <c r="X397" s="18">
        <f t="shared" si="325"/>
        <v>1.3772619763093383</v>
      </c>
      <c r="Y397" s="18">
        <f t="shared" si="326"/>
        <v>-0.75819508361440224</v>
      </c>
      <c r="Z397" s="32" t="str">
        <f t="shared" si="313"/>
        <v>0.984792424147177+0.464795138773128i</v>
      </c>
      <c r="AA397" s="18">
        <f t="shared" si="327"/>
        <v>1.0889676945092563</v>
      </c>
      <c r="AB397" s="18">
        <f t="shared" si="328"/>
        <v>0.44097543452670318</v>
      </c>
      <c r="AC397" s="68" t="str">
        <f t="shared" si="329"/>
        <v>-0.13556448793812-0.201909472821406i</v>
      </c>
      <c r="AD397" s="66">
        <f t="shared" si="330"/>
        <v>-12.280807478560119</v>
      </c>
      <c r="AE397" s="63">
        <f t="shared" si="331"/>
        <v>-123.87789415599781</v>
      </c>
      <c r="AF397" s="51" t="e">
        <f t="shared" si="332"/>
        <v>#NUM!</v>
      </c>
      <c r="AG397" s="51" t="str">
        <f t="shared" si="314"/>
        <v>1-205.718992842969i</v>
      </c>
      <c r="AH397" s="51">
        <f t="shared" si="333"/>
        <v>205.72142332855256</v>
      </c>
      <c r="AI397" s="51">
        <f t="shared" si="334"/>
        <v>-1.5659353651994108</v>
      </c>
      <c r="AJ397" s="51" t="str">
        <f t="shared" si="315"/>
        <v>1+0.68572997614323i</v>
      </c>
      <c r="AK397" s="51">
        <f t="shared" si="335"/>
        <v>1.2125285976756981</v>
      </c>
      <c r="AL397" s="51">
        <f t="shared" si="336"/>
        <v>0.60108442669919115</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-0.000170731707317073</v>
      </c>
      <c r="AT397" s="32" t="str">
        <f t="shared" si="318"/>
        <v>0.0147218864934705i</v>
      </c>
      <c r="AU397" s="32">
        <f t="shared" si="342"/>
        <v>1.4721886493470501E-2</v>
      </c>
      <c r="AV397" s="32">
        <f t="shared" si="343"/>
        <v>1.5707963267948966</v>
      </c>
      <c r="AW397" s="32" t="str">
        <f t="shared" si="319"/>
        <v>1+3.1344160550918i</v>
      </c>
      <c r="AX397" s="32">
        <f t="shared" si="344"/>
        <v>3.2900705169368698</v>
      </c>
      <c r="AY397" s="32">
        <f t="shared" si="345"/>
        <v>1.2619656387545983</v>
      </c>
      <c r="AZ397" s="32" t="str">
        <f t="shared" si="320"/>
        <v>1+59.5539050467443i</v>
      </c>
      <c r="BA397" s="32">
        <f t="shared" si="346"/>
        <v>59.562300210087891</v>
      </c>
      <c r="BB397" s="32">
        <f t="shared" si="347"/>
        <v>1.5540063945448761</v>
      </c>
      <c r="BC397" s="60" t="str">
        <f t="shared" si="348"/>
        <v>-0.0604462626394341+0.201060871236613i</v>
      </c>
      <c r="BD397" s="51">
        <f t="shared" si="349"/>
        <v>-13.557660536929481</v>
      </c>
      <c r="BE397" s="63">
        <f t="shared" si="350"/>
        <v>106.7327027525937</v>
      </c>
      <c r="BF397" s="60" t="str">
        <f t="shared" si="351"/>
        <v>0.0487904611588851-0.0150520410300313i</v>
      </c>
      <c r="BG397" s="66">
        <f t="shared" si="352"/>
        <v>-25.838468015489603</v>
      </c>
      <c r="BH397" s="63">
        <f t="shared" si="353"/>
        <v>-17.145191403404091</v>
      </c>
      <c r="BI397" s="60" t="e">
        <f t="shared" si="357"/>
        <v>#NUM!</v>
      </c>
      <c r="BJ397" s="66" t="e">
        <f t="shared" si="354"/>
        <v>#NUM!</v>
      </c>
      <c r="BK397" s="63" t="e">
        <f t="shared" si="358"/>
        <v>#NUM!</v>
      </c>
      <c r="BL397" s="51">
        <f t="shared" si="355"/>
        <v>-25.838468015489603</v>
      </c>
      <c r="BM397" s="63">
        <f t="shared" si="356"/>
        <v>-17.145191403404091</v>
      </c>
    </row>
    <row r="398" spans="14:65" x14ac:dyDescent="0.3">
      <c r="N398" s="11">
        <v>80</v>
      </c>
      <c r="O398" s="52">
        <f t="shared" si="359"/>
        <v>63095.734448019342</v>
      </c>
      <c r="P398" s="50" t="str">
        <f t="shared" si="309"/>
        <v>23.3035714285714</v>
      </c>
      <c r="Q398" s="18" t="str">
        <f t="shared" si="310"/>
        <v>1+150.364859825189i</v>
      </c>
      <c r="R398" s="18">
        <f t="shared" si="321"/>
        <v>150.36818503343295</v>
      </c>
      <c r="S398" s="18">
        <f t="shared" si="322"/>
        <v>1.5641459348180216</v>
      </c>
      <c r="T398" s="18" t="str">
        <f t="shared" si="311"/>
        <v>1+0.701702679184215i</v>
      </c>
      <c r="U398" s="18">
        <f t="shared" si="323"/>
        <v>1.2216327803289766</v>
      </c>
      <c r="V398" s="18">
        <f t="shared" si="324"/>
        <v>0.61186778823650023</v>
      </c>
      <c r="W398" s="32" t="str">
        <f t="shared" si="312"/>
        <v>1-0.969080912872111i</v>
      </c>
      <c r="X398" s="18">
        <f t="shared" si="325"/>
        <v>1.392522105997978</v>
      </c>
      <c r="Y398" s="18">
        <f t="shared" si="326"/>
        <v>-0.76969715987646814</v>
      </c>
      <c r="Z398" s="32" t="str">
        <f t="shared" si="313"/>
        <v>0.98407571317786+0.475621608352702i</v>
      </c>
      <c r="AA398" s="18">
        <f t="shared" si="327"/>
        <v>1.0929871561910163</v>
      </c>
      <c r="AB398" s="18">
        <f t="shared" si="328"/>
        <v>0.45021325124422457</v>
      </c>
      <c r="AC398" s="68" t="str">
        <f t="shared" si="329"/>
        <v>-0.136474108678749-0.19888890512386i</v>
      </c>
      <c r="AD398" s="66">
        <f t="shared" si="330"/>
        <v>-12.352115113483944</v>
      </c>
      <c r="AE398" s="63">
        <f t="shared" si="331"/>
        <v>-124.4572366629462</v>
      </c>
      <c r="AF398" s="51" t="e">
        <f t="shared" si="332"/>
        <v>#NUM!</v>
      </c>
      <c r="AG398" s="51" t="str">
        <f t="shared" si="314"/>
        <v>1-210.510803755265i</v>
      </c>
      <c r="AH398" s="51">
        <f t="shared" si="333"/>
        <v>210.51317891687373</v>
      </c>
      <c r="AI398" s="51">
        <f t="shared" si="334"/>
        <v>-1.5660460125102071</v>
      </c>
      <c r="AJ398" s="51" t="str">
        <f t="shared" si="315"/>
        <v>1+0.701702679184215i</v>
      </c>
      <c r="AK398" s="51">
        <f t="shared" si="335"/>
        <v>1.2216327803289766</v>
      </c>
      <c r="AL398" s="51">
        <f t="shared" si="336"/>
        <v>0.61186778823650023</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-0.000170731707317073</v>
      </c>
      <c r="AT398" s="32" t="str">
        <f t="shared" si="318"/>
        <v>0.015064803281921i</v>
      </c>
      <c r="AU398" s="32">
        <f t="shared" si="342"/>
        <v>1.5064803281921E-2</v>
      </c>
      <c r="AV398" s="32">
        <f t="shared" si="343"/>
        <v>1.5707963267948966</v>
      </c>
      <c r="AW398" s="32" t="str">
        <f t="shared" si="319"/>
        <v>1+3.20742598406772i</v>
      </c>
      <c r="AX398" s="32">
        <f t="shared" si="344"/>
        <v>3.3596996061065907</v>
      </c>
      <c r="AY398" s="32">
        <f t="shared" si="345"/>
        <v>1.2685707392387398</v>
      </c>
      <c r="AZ398" s="32" t="str">
        <f t="shared" si="320"/>
        <v>1+60.9410936972868i</v>
      </c>
      <c r="BA398" s="32">
        <f t="shared" si="346"/>
        <v>60.949297789404341</v>
      </c>
      <c r="BB398" s="32">
        <f t="shared" si="347"/>
        <v>1.5543885106741973</v>
      </c>
      <c r="BC398" s="60" t="str">
        <f t="shared" si="348"/>
        <v>-0.0579667524152588+0.197257220033049i</v>
      </c>
      <c r="BD398" s="51">
        <f t="shared" si="349"/>
        <v>-13.739620475008799</v>
      </c>
      <c r="BE398" s="63">
        <f t="shared" si="350"/>
        <v>106.37615201308648</v>
      </c>
      <c r="BF398" s="60" t="str">
        <f t="shared" si="351"/>
        <v>0.0471432333890236-0.0153915593630015i</v>
      </c>
      <c r="BG398" s="66">
        <f t="shared" si="352"/>
        <v>-26.09173558849275</v>
      </c>
      <c r="BH398" s="63">
        <f t="shared" si="353"/>
        <v>-18.081084649859672</v>
      </c>
      <c r="BI398" s="60" t="e">
        <f t="shared" si="357"/>
        <v>#NUM!</v>
      </c>
      <c r="BJ398" s="66" t="e">
        <f t="shared" si="354"/>
        <v>#NUM!</v>
      </c>
      <c r="BK398" s="63" t="e">
        <f t="shared" si="358"/>
        <v>#NUM!</v>
      </c>
      <c r="BL398" s="51">
        <f t="shared" si="355"/>
        <v>-26.09173558849275</v>
      </c>
      <c r="BM398" s="63">
        <f t="shared" si="356"/>
        <v>-18.081084649859672</v>
      </c>
    </row>
    <row r="399" spans="14:65" x14ac:dyDescent="0.3">
      <c r="N399" s="11">
        <v>81</v>
      </c>
      <c r="O399" s="52">
        <f t="shared" si="359"/>
        <v>64565.422903465682</v>
      </c>
      <c r="P399" s="50" t="str">
        <f t="shared" si="309"/>
        <v>23.3035714285714</v>
      </c>
      <c r="Q399" s="18" t="str">
        <f t="shared" si="310"/>
        <v>1+153.867307344394i</v>
      </c>
      <c r="R399" s="18">
        <f t="shared" si="321"/>
        <v>153.87055686327452</v>
      </c>
      <c r="S399" s="18">
        <f t="shared" si="322"/>
        <v>1.5642973119089254</v>
      </c>
      <c r="T399" s="18" t="str">
        <f t="shared" si="311"/>
        <v>1+0.718047434273839i</v>
      </c>
      <c r="U399" s="18">
        <f t="shared" si="323"/>
        <v>1.2310938704531198</v>
      </c>
      <c r="V399" s="18">
        <f t="shared" si="324"/>
        <v>0.62273592563717861</v>
      </c>
      <c r="W399" s="32" t="str">
        <f t="shared" si="312"/>
        <v>1-0.99165370709507i</v>
      </c>
      <c r="X399" s="18">
        <f t="shared" si="325"/>
        <v>1.4083242079845801</v>
      </c>
      <c r="Y399" s="18">
        <f t="shared" si="326"/>
        <v>-0.78120755334403791</v>
      </c>
      <c r="Z399" s="32" t="str">
        <f t="shared" si="313"/>
        <v>0.983325224661187+0.486700258804622i</v>
      </c>
      <c r="AA399" s="18">
        <f t="shared" si="327"/>
        <v>1.0971807687776249</v>
      </c>
      <c r="AB399" s="18">
        <f t="shared" si="328"/>
        <v>0.45960226282167765</v>
      </c>
      <c r="AC399" s="68" t="str">
        <f t="shared" si="329"/>
        <v>-0.137408531525572-0.195943627659076i</v>
      </c>
      <c r="AD399" s="66">
        <f t="shared" si="330"/>
        <v>-12.420348281609307</v>
      </c>
      <c r="AE399" s="63">
        <f t="shared" si="331"/>
        <v>-125.04065923055718</v>
      </c>
      <c r="AF399" s="51" t="e">
        <f t="shared" si="332"/>
        <v>#NUM!</v>
      </c>
      <c r="AG399" s="51" t="str">
        <f t="shared" si="314"/>
        <v>1-215.414230282152i</v>
      </c>
      <c r="AH399" s="51">
        <f t="shared" si="333"/>
        <v>215.41655137907117</v>
      </c>
      <c r="AI399" s="51">
        <f t="shared" si="334"/>
        <v>-1.5661541412931104</v>
      </c>
      <c r="AJ399" s="51" t="str">
        <f t="shared" si="315"/>
        <v>1+0.718047434273839i</v>
      </c>
      <c r="AK399" s="51">
        <f t="shared" si="335"/>
        <v>1.2310938704531198</v>
      </c>
      <c r="AL399" s="51">
        <f t="shared" si="336"/>
        <v>0.62273592563717861</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-0.000170731707317073</v>
      </c>
      <c r="AT399" s="32" t="str">
        <f t="shared" si="318"/>
        <v>0.0154157076284779i</v>
      </c>
      <c r="AU399" s="32">
        <f t="shared" si="342"/>
        <v>1.5415707628477901E-2</v>
      </c>
      <c r="AV399" s="32">
        <f t="shared" si="343"/>
        <v>1.5707963267948966</v>
      </c>
      <c r="AW399" s="32" t="str">
        <f t="shared" si="319"/>
        <v>1+3.28213653275571i</v>
      </c>
      <c r="AX399" s="32">
        <f t="shared" si="344"/>
        <v>3.4310960668057193</v>
      </c>
      <c r="AY399" s="32">
        <f t="shared" si="345"/>
        <v>1.2750518827780344</v>
      </c>
      <c r="AZ399" s="32" t="str">
        <f t="shared" si="320"/>
        <v>1+62.3605941223585i</v>
      </c>
      <c r="BA399" s="32">
        <f t="shared" si="346"/>
        <v>62.368611490825529</v>
      </c>
      <c r="BB399" s="32">
        <f t="shared" si="347"/>
        <v>1.5547619334089278</v>
      </c>
      <c r="BC399" s="60" t="str">
        <f t="shared" si="348"/>
        <v>-0.0555794328337979+0.193494465060297i</v>
      </c>
      <c r="BD399" s="51">
        <f t="shared" si="349"/>
        <v>-13.922321683550301</v>
      </c>
      <c r="BE399" s="63">
        <f t="shared" si="350"/>
        <v>106.02620538854077</v>
      </c>
      <c r="BF399" s="60" t="str">
        <f t="shared" si="351"/>
        <v>0.0455510956645833-0.0156973546095732i</v>
      </c>
      <c r="BG399" s="66">
        <f t="shared" si="352"/>
        <v>-26.342669965159601</v>
      </c>
      <c r="BH399" s="63">
        <f t="shared" si="353"/>
        <v>-19.014453842016394</v>
      </c>
      <c r="BI399" s="60" t="e">
        <f t="shared" si="357"/>
        <v>#NUM!</v>
      </c>
      <c r="BJ399" s="66" t="e">
        <f t="shared" si="354"/>
        <v>#NUM!</v>
      </c>
      <c r="BK399" s="63" t="e">
        <f t="shared" si="358"/>
        <v>#NUM!</v>
      </c>
      <c r="BL399" s="51">
        <f t="shared" si="355"/>
        <v>-26.342669965159601</v>
      </c>
      <c r="BM399" s="63">
        <f t="shared" si="356"/>
        <v>-19.014453842016394</v>
      </c>
    </row>
    <row r="400" spans="14:65" x14ac:dyDescent="0.3">
      <c r="N400" s="11">
        <v>82</v>
      </c>
      <c r="O400" s="52">
        <f t="shared" si="359"/>
        <v>66069.344800759733</v>
      </c>
      <c r="P400" s="50" t="str">
        <f t="shared" si="309"/>
        <v>23.3035714285714</v>
      </c>
      <c r="Q400" s="18" t="str">
        <f t="shared" si="310"/>
        <v>1+157.451337346628i</v>
      </c>
      <c r="R400" s="18">
        <f t="shared" si="321"/>
        <v>157.45451289893745</v>
      </c>
      <c r="S400" s="18">
        <f t="shared" si="322"/>
        <v>1.5644452435243696</v>
      </c>
      <c r="T400" s="18" t="str">
        <f t="shared" si="311"/>
        <v>1+0.734772907617596i</v>
      </c>
      <c r="U400" s="18">
        <f t="shared" si="323"/>
        <v>1.2409235374384742</v>
      </c>
      <c r="V400" s="18">
        <f t="shared" si="324"/>
        <v>0.63368433185516082</v>
      </c>
      <c r="W400" s="32" t="str">
        <f t="shared" si="312"/>
        <v>1-1.01475228923962i</v>
      </c>
      <c r="X400" s="18">
        <f t="shared" si="325"/>
        <v>1.4246831958428685</v>
      </c>
      <c r="Y400" s="18">
        <f t="shared" si="326"/>
        <v>-0.79272016803565692</v>
      </c>
      <c r="Z400" s="32" t="str">
        <f t="shared" si="313"/>
        <v>0.982539366710393+0.498036964176i</v>
      </c>
      <c r="AA400" s="18">
        <f t="shared" si="327"/>
        <v>1.1015554569885742</v>
      </c>
      <c r="AB400" s="18">
        <f t="shared" si="328"/>
        <v>0.46914244849901576</v>
      </c>
      <c r="AC400" s="68" t="str">
        <f t="shared" si="329"/>
        <v>-0.138368153987683-0.193070654706366i</v>
      </c>
      <c r="AD400" s="66">
        <f t="shared" si="330"/>
        <v>-12.48551340614827</v>
      </c>
      <c r="AE400" s="63">
        <f t="shared" si="331"/>
        <v>-125.62807422716619</v>
      </c>
      <c r="AF400" s="51" t="e">
        <f t="shared" si="332"/>
        <v>#NUM!</v>
      </c>
      <c r="AG400" s="51" t="str">
        <f t="shared" si="314"/>
        <v>1-220.431872285279i</v>
      </c>
      <c r="AH400" s="51">
        <f t="shared" si="333"/>
        <v>220.43414054813186</v>
      </c>
      <c r="AI400" s="51">
        <f t="shared" si="334"/>
        <v>-1.5662598088693123</v>
      </c>
      <c r="AJ400" s="51" t="str">
        <f t="shared" si="315"/>
        <v>1+0.734772907617596i</v>
      </c>
      <c r="AK400" s="51">
        <f t="shared" si="335"/>
        <v>1.2409235374384742</v>
      </c>
      <c r="AL400" s="51">
        <f t="shared" si="336"/>
        <v>0.63368433185516082</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-0.000170731707317073</v>
      </c>
      <c r="AT400" s="32" t="str">
        <f t="shared" si="318"/>
        <v>0.0157747855872704i</v>
      </c>
      <c r="AU400" s="32">
        <f t="shared" si="342"/>
        <v>1.5774785587270398E-2</v>
      </c>
      <c r="AV400" s="32">
        <f t="shared" si="343"/>
        <v>1.5707963267948966</v>
      </c>
      <c r="AW400" s="32" t="str">
        <f t="shared" si="319"/>
        <v>1+3.35858731367757i</v>
      </c>
      <c r="AX400" s="32">
        <f t="shared" si="344"/>
        <v>3.5042986093647777</v>
      </c>
      <c r="AY400" s="32">
        <f t="shared" si="345"/>
        <v>1.2814103270321251</v>
      </c>
      <c r="AZ400" s="32" t="str">
        <f t="shared" si="320"/>
        <v>1+63.8131589598739i</v>
      </c>
      <c r="BA400" s="32">
        <f t="shared" si="346"/>
        <v>63.820993853418912</v>
      </c>
      <c r="BB400" s="32">
        <f t="shared" si="347"/>
        <v>1.5551268603259316</v>
      </c>
      <c r="BC400" s="60" t="str">
        <f t="shared" si="348"/>
        <v>-0.0532816486035179+0.189774145306587i</v>
      </c>
      <c r="BD400" s="51">
        <f t="shared" si="349"/>
        <v>-14.105736500395164</v>
      </c>
      <c r="BE400" s="63">
        <f t="shared" si="350"/>
        <v>105.68280214068719</v>
      </c>
      <c r="BF400" s="60" t="str">
        <f t="shared" si="351"/>
        <v>0.044012301839373-0.015971575380947i</v>
      </c>
      <c r="BG400" s="66">
        <f t="shared" si="352"/>
        <v>-26.591249906543428</v>
      </c>
      <c r="BH400" s="63">
        <f t="shared" si="353"/>
        <v>-19.945272086478976</v>
      </c>
      <c r="BI400" s="60" t="e">
        <f t="shared" si="357"/>
        <v>#NUM!</v>
      </c>
      <c r="BJ400" s="66" t="e">
        <f t="shared" si="354"/>
        <v>#NUM!</v>
      </c>
      <c r="BK400" s="63" t="e">
        <f t="shared" si="358"/>
        <v>#NUM!</v>
      </c>
      <c r="BL400" s="51">
        <f t="shared" si="355"/>
        <v>-26.591249906543428</v>
      </c>
      <c r="BM400" s="63">
        <f t="shared" si="356"/>
        <v>-19.945272086478976</v>
      </c>
    </row>
    <row r="401" spans="14:65" x14ac:dyDescent="0.3">
      <c r="N401" s="11">
        <v>83</v>
      </c>
      <c r="O401" s="52">
        <f t="shared" si="359"/>
        <v>67608.297539198305</v>
      </c>
      <c r="P401" s="50" t="str">
        <f t="shared" si="309"/>
        <v>23.3035714285714</v>
      </c>
      <c r="Q401" s="18" t="str">
        <f t="shared" si="310"/>
        <v>1+161.118850132037i</v>
      </c>
      <c r="R401" s="18">
        <f t="shared" si="321"/>
        <v>161.12195340135932</v>
      </c>
      <c r="S401" s="18">
        <f t="shared" si="322"/>
        <v>1.5645898080737415</v>
      </c>
      <c r="T401" s="18" t="str">
        <f t="shared" si="311"/>
        <v>1+0.75188796728284i</v>
      </c>
      <c r="U401" s="18">
        <f t="shared" si="323"/>
        <v>1.2511336920348366</v>
      </c>
      <c r="V401" s="18">
        <f t="shared" si="324"/>
        <v>0.64470831326930722</v>
      </c>
      <c r="W401" s="32" t="str">
        <f t="shared" si="312"/>
        <v>1-1.03838890647975i</v>
      </c>
      <c r="X401" s="18">
        <f t="shared" si="325"/>
        <v>1.4416142067488831</v>
      </c>
      <c r="Y401" s="18">
        <f t="shared" si="326"/>
        <v>-0.80422890208705411</v>
      </c>
      <c r="Z401" s="32" t="str">
        <f t="shared" si="313"/>
        <v>0.981716472415405+0.509637735338081i</v>
      </c>
      <c r="AA401" s="18">
        <f t="shared" si="327"/>
        <v>1.1061183722786068</v>
      </c>
      <c r="AB401" s="18">
        <f t="shared" si="328"/>
        <v>0.47883363311674254</v>
      </c>
      <c r="AC401" s="68" t="str">
        <f t="shared" si="329"/>
        <v>-0.139353327199825-0.190267000756032i</v>
      </c>
      <c r="AD401" s="66">
        <f t="shared" si="330"/>
        <v>-12.547621335098981</v>
      </c>
      <c r="AE401" s="63">
        <f t="shared" si="331"/>
        <v>-126.21939542301259</v>
      </c>
      <c r="AF401" s="51" t="e">
        <f t="shared" si="332"/>
        <v>#NUM!</v>
      </c>
      <c r="AG401" s="51" t="str">
        <f t="shared" si="314"/>
        <v>1-225.566390184852i</v>
      </c>
      <c r="AH401" s="51">
        <f t="shared" si="333"/>
        <v>225.56860681625204</v>
      </c>
      <c r="AI401" s="51">
        <f t="shared" si="334"/>
        <v>-1.5663630712557166</v>
      </c>
      <c r="AJ401" s="51" t="str">
        <f t="shared" si="315"/>
        <v>1+0.75188796728284i</v>
      </c>
      <c r="AK401" s="51">
        <f t="shared" si="335"/>
        <v>1.2511336920348366</v>
      </c>
      <c r="AL401" s="51">
        <f t="shared" si="336"/>
        <v>0.64470831326930722</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-0.000170731707317073</v>
      </c>
      <c r="AT401" s="32" t="str">
        <f t="shared" si="318"/>
        <v>0.0161422275461852i</v>
      </c>
      <c r="AU401" s="32">
        <f t="shared" si="342"/>
        <v>1.61422275461852E-2</v>
      </c>
      <c r="AV401" s="32">
        <f t="shared" si="343"/>
        <v>1.5707963267948966</v>
      </c>
      <c r="AW401" s="32" t="str">
        <f t="shared" si="319"/>
        <v>1+3.4368188620493i</v>
      </c>
      <c r="AX401" s="32">
        <f t="shared" si="344"/>
        <v>3.5793468525050556</v>
      </c>
      <c r="AY401" s="32">
        <f t="shared" si="345"/>
        <v>1.2876473860011333</v>
      </c>
      <c r="AZ401" s="32" t="str">
        <f t="shared" si="320"/>
        <v>1+65.2995583789368i</v>
      </c>
      <c r="BA401" s="32">
        <f t="shared" si="346"/>
        <v>65.307214949683583</v>
      </c>
      <c r="BB401" s="32">
        <f t="shared" si="347"/>
        <v>1.5554834845252841</v>
      </c>
      <c r="BC401" s="60" t="str">
        <f t="shared" si="348"/>
        <v>-0.0510707571033829+0.18609765427366i</v>
      </c>
      <c r="BD401" s="51">
        <f t="shared" si="349"/>
        <v>-14.289838068234982</v>
      </c>
      <c r="BE401" s="63">
        <f t="shared" si="350"/>
        <v>105.34587804668389</v>
      </c>
      <c r="BF401" s="60" t="str">
        <f t="shared" si="351"/>
        <v>0.0425251224513528-0.0162162475267168i</v>
      </c>
      <c r="BG401" s="66">
        <f t="shared" si="352"/>
        <v>-26.837459403333956</v>
      </c>
      <c r="BH401" s="63">
        <f t="shared" si="353"/>
        <v>-20.873517376328717</v>
      </c>
      <c r="BI401" s="60" t="e">
        <f t="shared" si="357"/>
        <v>#NUM!</v>
      </c>
      <c r="BJ401" s="66" t="e">
        <f t="shared" si="354"/>
        <v>#NUM!</v>
      </c>
      <c r="BK401" s="63" t="e">
        <f t="shared" si="358"/>
        <v>#NUM!</v>
      </c>
      <c r="BL401" s="51">
        <f t="shared" si="355"/>
        <v>-26.837459403333956</v>
      </c>
      <c r="BM401" s="63">
        <f t="shared" si="356"/>
        <v>-20.873517376328717</v>
      </c>
    </row>
    <row r="402" spans="14:65" x14ac:dyDescent="0.3">
      <c r="N402" s="11">
        <v>84</v>
      </c>
      <c r="O402" s="52">
        <f t="shared" si="359"/>
        <v>69183.097091893651</v>
      </c>
      <c r="P402" s="50" t="str">
        <f t="shared" si="309"/>
        <v>23.3035714285714</v>
      </c>
      <c r="Q402" s="18" t="str">
        <f t="shared" si="310"/>
        <v>1+164.871790264446i</v>
      </c>
      <c r="R402" s="18">
        <f t="shared" si="321"/>
        <v>164.87482289604884</v>
      </c>
      <c r="S402" s="18">
        <f t="shared" si="322"/>
        <v>1.5647310821828948</v>
      </c>
      <c r="T402" s="18" t="str">
        <f t="shared" si="311"/>
        <v>1+0.769401687900748i</v>
      </c>
      <c r="U402" s="18">
        <f t="shared" si="323"/>
        <v>1.2617364849066228</v>
      </c>
      <c r="V402" s="18">
        <f t="shared" si="324"/>
        <v>0.6558029975031997</v>
      </c>
      <c r="W402" s="32" t="str">
        <f t="shared" si="312"/>
        <v>1-1.0625760912628i</v>
      </c>
      <c r="X402" s="18">
        <f t="shared" si="325"/>
        <v>1.4591326018300497</v>
      </c>
      <c r="Y402" s="18">
        <f t="shared" si="326"/>
        <v>-0.81572766390989637</v>
      </c>
      <c r="Z402" s="32" t="str">
        <f t="shared" si="313"/>
        <v>0.980854796307094+0.521508723173291i</v>
      </c>
      <c r="AA402" s="18">
        <f t="shared" si="327"/>
        <v>1.1108768967732054</v>
      </c>
      <c r="AB402" s="18">
        <f t="shared" si="328"/>
        <v>0.4886754809593622</v>
      </c>
      <c r="AC402" s="68" t="str">
        <f t="shared" si="329"/>
        <v>-0.140364352534513-0.187529680795335i</v>
      </c>
      <c r="AD402" s="66">
        <f t="shared" si="330"/>
        <v>-12.606687389477909</v>
      </c>
      <c r="AE402" s="63">
        <f t="shared" si="331"/>
        <v>-126.81453811765633</v>
      </c>
      <c r="AF402" s="51" t="e">
        <f t="shared" si="332"/>
        <v>#NUM!</v>
      </c>
      <c r="AG402" s="51" t="str">
        <f t="shared" si="314"/>
        <v>1-230.820506370225i</v>
      </c>
      <c r="AH402" s="51">
        <f t="shared" si="333"/>
        <v>230.82267254541327</v>
      </c>
      <c r="AI402" s="51">
        <f t="shared" si="334"/>
        <v>-1.5664639831945932</v>
      </c>
      <c r="AJ402" s="51" t="str">
        <f t="shared" si="315"/>
        <v>1+0.769401687900748i</v>
      </c>
      <c r="AK402" s="51">
        <f t="shared" si="335"/>
        <v>1.2617364849066228</v>
      </c>
      <c r="AL402" s="51">
        <f t="shared" si="336"/>
        <v>0.6558029975031997</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-0.000170731707317073</v>
      </c>
      <c r="AT402" s="32" t="str">
        <f t="shared" si="318"/>
        <v>0.0165182283278127i</v>
      </c>
      <c r="AU402" s="32">
        <f t="shared" si="342"/>
        <v>1.65182283278127E-2</v>
      </c>
      <c r="AV402" s="32">
        <f t="shared" si="343"/>
        <v>1.5707963267948966</v>
      </c>
      <c r="AW402" s="32" t="str">
        <f t="shared" si="319"/>
        <v>1+3.51687265727335i</v>
      </c>
      <c r="AX402" s="32">
        <f t="shared" si="344"/>
        <v>3.656281346871014</v>
      </c>
      <c r="AY402" s="32">
        <f t="shared" si="345"/>
        <v>1.2937644249010836</v>
      </c>
      <c r="AZ402" s="32" t="str">
        <f t="shared" si="320"/>
        <v>1+66.8205804881938i</v>
      </c>
      <c r="BA402" s="32">
        <f t="shared" si="346"/>
        <v>66.828062793853206</v>
      </c>
      <c r="BB402" s="32">
        <f t="shared" si="347"/>
        <v>1.5558319947308015</v>
      </c>
      <c r="BC402" s="60" t="str">
        <f t="shared" si="348"/>
        <v>-0.0489441344834008+0.182466245880038i</v>
      </c>
      <c r="BD402" s="51">
        <f t="shared" si="349"/>
        <v>-14.474600330016381</v>
      </c>
      <c r="BE402" s="63">
        <f t="shared" si="350"/>
        <v>105.0153656984928</v>
      </c>
      <c r="BF402" s="60" t="str">
        <f t="shared" si="351"/>
        <v>0.0410878485929313-0.0164332785458787i</v>
      </c>
      <c r="BG402" s="66">
        <f t="shared" si="352"/>
        <v>-27.081287719494291</v>
      </c>
      <c r="BH402" s="63">
        <f t="shared" si="353"/>
        <v>-21.799172419163579</v>
      </c>
      <c r="BI402" s="60" t="e">
        <f t="shared" si="357"/>
        <v>#NUM!</v>
      </c>
      <c r="BJ402" s="66" t="e">
        <f t="shared" si="354"/>
        <v>#NUM!</v>
      </c>
      <c r="BK402" s="63" t="e">
        <f t="shared" si="358"/>
        <v>#NUM!</v>
      </c>
      <c r="BL402" s="51">
        <f t="shared" si="355"/>
        <v>-27.081287719494291</v>
      </c>
      <c r="BM402" s="63">
        <f t="shared" si="356"/>
        <v>-21.799172419163579</v>
      </c>
    </row>
    <row r="403" spans="14:65" x14ac:dyDescent="0.3">
      <c r="N403" s="11">
        <v>85</v>
      </c>
      <c r="O403" s="52">
        <f t="shared" si="359"/>
        <v>70794.578438413781</v>
      </c>
      <c r="P403" s="50" t="str">
        <f t="shared" ref="P403:P466" si="360">COMPLEX(Adc,0)</f>
        <v>23.3035714285714</v>
      </c>
      <c r="Q403" s="18" t="str">
        <f t="shared" ref="Q403:Q466" si="361">IMSUM(COMPLEX(1,0),IMDIV(COMPLEX(0,2*PI()*O403),COMPLEX(wp_lf,0)))</f>
        <v>1+168.71214760239i</v>
      </c>
      <c r="R403" s="18">
        <f t="shared" si="321"/>
        <v>168.71511120409644</v>
      </c>
      <c r="S403" s="18">
        <f t="shared" si="322"/>
        <v>1.5648691407346624</v>
      </c>
      <c r="T403" s="18" t="str">
        <f t="shared" ref="T403:T466" si="362">IMSUM(COMPLEX(1,0),IMDIV(COMPLEX(0,2*PI()*O403),COMPLEX(wz_esr,0)))</f>
        <v>1+0.787323355477819i</v>
      </c>
      <c r="U403" s="18">
        <f t="shared" si="323"/>
        <v>1.2727443050671459</v>
      </c>
      <c r="V403" s="18">
        <f t="shared" si="324"/>
        <v>0.66696334221766085</v>
      </c>
      <c r="W403" s="32" t="str">
        <f t="shared" ref="W403:W466" si="363">IMSUB(COMPLEX(1,0),IMDIV(COMPLEX(0,2*PI()*O403),COMPLEX(wz_rhp,0)))</f>
        <v>1-1.0873266679543i</v>
      </c>
      <c r="X403" s="18">
        <f t="shared" si="325"/>
        <v>1.4772539669415685</v>
      </c>
      <c r="Y403" s="18">
        <f t="shared" si="326"/>
        <v>-0.82721038828420146</v>
      </c>
      <c r="Z403" s="32" t="str">
        <f t="shared" ref="Z403:Z466" si="364">IMSUM(COMPLEX(1,0),IMDIV(COMPLEX(0,2*PI()*O403),COMPLEX(Q*(wsl/2),0)),IMDIV(IMPOWER(COMPLEX(0,2*PI()*O403),2),IMPOWER(COMPLEX(wsl/2,0),2)))</f>
        <v>0.979952510654909+0.533656221836512i</v>
      </c>
      <c r="AA403" s="18">
        <f t="shared" si="327"/>
        <v>1.1158386470470001</v>
      </c>
      <c r="AB403" s="18">
        <f t="shared" si="328"/>
        <v>0.49866748983538833</v>
      </c>
      <c r="AC403" s="68" t="str">
        <f t="shared" si="329"/>
        <v>-0.141401478181225-0.184855710916412i</v>
      </c>
      <c r="AD403" s="66">
        <f t="shared" si="330"/>
        <v>-12.6627313926639</v>
      </c>
      <c r="AE403" s="63">
        <f t="shared" si="331"/>
        <v>-127.41341922136186</v>
      </c>
      <c r="AF403" s="51" t="e">
        <f t="shared" si="332"/>
        <v>#NUM!</v>
      </c>
      <c r="AG403" s="51" t="str">
        <f t="shared" ref="AG403:AG466" si="365">IMSUM(COMPLEX(1,0),IMDIV(COMPLEX(0,2*PI()*O403),COMPLEX(wp_lf_DCM,0)))</f>
        <v>1-236.197006643346i</v>
      </c>
      <c r="AH403" s="51">
        <f t="shared" si="333"/>
        <v>236.19912351081413</v>
      </c>
      <c r="AI403" s="51">
        <f t="shared" si="334"/>
        <v>-1.5665625981825628</v>
      </c>
      <c r="AJ403" s="51" t="str">
        <f t="shared" ref="AJ403:AJ466" si="366">IMSUM(COMPLEX(1,0),IMDIV(COMPLEX(0,2*PI()*O403),COMPLEX(wz1_dcm,0)))</f>
        <v>1+0.787323355477819i</v>
      </c>
      <c r="AK403" s="51">
        <f t="shared" si="335"/>
        <v>1.2727443050671459</v>
      </c>
      <c r="AL403" s="51">
        <f t="shared" si="336"/>
        <v>0.66696334221766085</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-0.000170731707317073</v>
      </c>
      <c r="AT403" s="32" t="str">
        <f t="shared" ref="AT403:AT466" si="369">COMPLEX(0,2*PI()*O403*wp0_ea)</f>
        <v>0.0169029872927441i</v>
      </c>
      <c r="AU403" s="32">
        <f t="shared" si="342"/>
        <v>1.6902987292744101E-2</v>
      </c>
      <c r="AV403" s="32">
        <f t="shared" si="343"/>
        <v>1.5707963267948966</v>
      </c>
      <c r="AW403" s="32" t="str">
        <f t="shared" ref="AW403:AW466" si="370">IMSUM(COMPLEX(1,0),IMDIV(COMPLEX(0,2*PI()*O403),COMPLEX(wp1_ea,0)))</f>
        <v>1+3.59879114493161i</v>
      </c>
      <c r="AX403" s="32">
        <f t="shared" si="344"/>
        <v>3.7351435989581669</v>
      </c>
      <c r="AY403" s="32">
        <f t="shared" si="345"/>
        <v>1.2997628552508667</v>
      </c>
      <c r="AZ403" s="32" t="str">
        <f t="shared" ref="AZ403:AZ466" si="371">IMSUM(COMPLEX(1,0),IMDIV(COMPLEX(0,2*PI()*O403),COMPLEX(wz_ea,0)))</f>
        <v>1+68.3770317537008i</v>
      </c>
      <c r="BA403" s="32">
        <f t="shared" si="346"/>
        <v>68.384343759713076</v>
      </c>
      <c r="BB403" s="32">
        <f t="shared" si="347"/>
        <v>1.5561725753883751</v>
      </c>
      <c r="BC403" s="60" t="str">
        <f t="shared" si="348"/>
        <v>-0.0468991811896008+0.178881040432496i</v>
      </c>
      <c r="BD403" s="51">
        <f t="shared" si="349"/>
        <v>-14.659998022559588</v>
      </c>
      <c r="BE403" s="63">
        <f t="shared" si="350"/>
        <v>104.69119479000994</v>
      </c>
      <c r="BF403" s="60" t="str">
        <f t="shared" si="351"/>
        <v>0.0396987954443151-0.0166244620555491i</v>
      </c>
      <c r="BG403" s="66">
        <f t="shared" si="352"/>
        <v>-27.322729415223499</v>
      </c>
      <c r="BH403" s="63">
        <f t="shared" si="353"/>
        <v>-22.722224431351897</v>
      </c>
      <c r="BI403" s="60" t="e">
        <f t="shared" si="357"/>
        <v>#NUM!</v>
      </c>
      <c r="BJ403" s="66" t="e">
        <f t="shared" si="354"/>
        <v>#NUM!</v>
      </c>
      <c r="BK403" s="63" t="e">
        <f t="shared" si="358"/>
        <v>#NUM!</v>
      </c>
      <c r="BL403" s="51">
        <f t="shared" si="355"/>
        <v>-27.322729415223499</v>
      </c>
      <c r="BM403" s="63">
        <f t="shared" si="356"/>
        <v>-22.722224431351897</v>
      </c>
    </row>
    <row r="404" spans="14:65" x14ac:dyDescent="0.3">
      <c r="N404" s="11">
        <v>86</v>
      </c>
      <c r="O404" s="52">
        <f t="shared" si="359"/>
        <v>72443.596007499116</v>
      </c>
      <c r="P404" s="50" t="str">
        <f t="shared" si="360"/>
        <v>23.3035714285714</v>
      </c>
      <c r="Q404" s="18" t="str">
        <f t="shared" si="361"/>
        <v>1+172.641958354162i</v>
      </c>
      <c r="R404" s="18">
        <f t="shared" ref="R404:R467" si="372">IMABS(Q404)</f>
        <v>172.64485449720249</v>
      </c>
      <c r="S404" s="18">
        <f t="shared" ref="S404:S467" si="373">IMARGUMENT(Q404)</f>
        <v>1.5650040569084527</v>
      </c>
      <c r="T404" s="18" t="str">
        <f t="shared" si="362"/>
        <v>1+0.805662472319423i</v>
      </c>
      <c r="U404" s="18">
        <f t="shared" ref="U404:U467" si="374">IMABS(T404)</f>
        <v>1.2841697782239876</v>
      </c>
      <c r="V404" s="18">
        <f t="shared" ref="V404:V467" si="375">IMARGUMENT(T404)</f>
        <v>0.67818414485180134</v>
      </c>
      <c r="W404" s="32" t="str">
        <f t="shared" si="363"/>
        <v>1-1.11265375963762i</v>
      </c>
      <c r="X404" s="18">
        <f t="shared" ref="X404:X467" si="376">IMABS(W404)</f>
        <v>1.4959941139041057</v>
      </c>
      <c r="Y404" s="18">
        <f t="shared" ref="Y404:Y467" si="377">IMARGUMENT(W404)</f>
        <v>-0.83867105228095673</v>
      </c>
      <c r="Z404" s="32" t="str">
        <f t="shared" si="364"/>
        <v>0.979007701590009+0.546086672092327i</v>
      </c>
      <c r="AA404" s="18">
        <f t="shared" ref="AA404:AA467" si="378">IMABS(Z404)</f>
        <v>1.1210114777331339</v>
      </c>
      <c r="AB404" s="18">
        <f t="shared" ref="AB404:AB467" si="379">IMARGUMENT(Z404)</f>
        <v>0.50880898544357289</v>
      </c>
      <c r="AC404" s="68" t="str">
        <f t="shared" ref="AC404:AC467" si="380">(IMDIV(IMPRODUCT(P404,T404,W404),IMPRODUCT(Q404,Z404)))</f>
        <v>-0.142464895718087-0.182242109258879i</v>
      </c>
      <c r="AD404" s="66">
        <f t="shared" ref="AD404:AD467" si="381">20*LOG(IMABS(AC404))</f>
        <v>-12.715777680174023</v>
      </c>
      <c r="AE404" s="63">
        <f t="shared" ref="AE404:AE467" si="382">(180/PI())*IMARGUMENT(AC404)</f>
        <v>-128.01595728875341</v>
      </c>
      <c r="AF404" s="51" t="e">
        <f t="shared" ref="AF404:AF467" si="383">COMPLEX($B$68,0)</f>
        <v>#NUM!</v>
      </c>
      <c r="AG404" s="51" t="str">
        <f t="shared" si="365"/>
        <v>1-241.698741695827i</v>
      </c>
      <c r="AH404" s="51">
        <f t="shared" ref="AH404:AH467" si="384">IMABS(AG404)</f>
        <v>241.70081037792593</v>
      </c>
      <c r="AI404" s="51">
        <f t="shared" ref="AI404:AI467" si="385">IMARGUMENT(AG404)</f>
        <v>-1.5666589684989203</v>
      </c>
      <c r="AJ404" s="51" t="str">
        <f t="shared" si="366"/>
        <v>1+0.805662472319423i</v>
      </c>
      <c r="AK404" s="51">
        <f t="shared" ref="AK404:AK467" si="386">IMABS(AJ404)</f>
        <v>1.2841697782239876</v>
      </c>
      <c r="AL404" s="51">
        <f t="shared" ref="AL404:AL467" si="387">IMARGUMENT(AJ404)</f>
        <v>0.67818414485180134</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-0.000170731707317073</v>
      </c>
      <c r="AT404" s="32" t="str">
        <f t="shared" si="369"/>
        <v>0.0172967084452757i</v>
      </c>
      <c r="AU404" s="32">
        <f t="shared" ref="AU404:AU467" si="393">IMABS(AT404)</f>
        <v>1.7296708445275699E-2</v>
      </c>
      <c r="AV404" s="32">
        <f t="shared" ref="AV404:AV467" si="394">IMARGUMENT(AT404)</f>
        <v>1.5707963267948966</v>
      </c>
      <c r="AW404" s="32" t="str">
        <f t="shared" si="370"/>
        <v>1+3.68261775929056i</v>
      </c>
      <c r="AX404" s="32">
        <f t="shared" ref="AX404:AX467" si="395">IMABS(AW404)</f>
        <v>3.8159760954495279</v>
      </c>
      <c r="AY404" s="32">
        <f t="shared" ref="AY404:AY467" si="396">IMARGUMENT(AW404)</f>
        <v>1.3056441301723778</v>
      </c>
      <c r="AZ404" s="32" t="str">
        <f t="shared" si="371"/>
        <v>1+69.9697374265207i</v>
      </c>
      <c r="BA404" s="32">
        <f t="shared" ref="BA404:BA467" si="397">IMABS(AZ404)</f>
        <v>69.976883008149571</v>
      </c>
      <c r="BB404" s="32">
        <f t="shared" ref="BB404:BB467" si="398">IMARGUMENT(AZ404)</f>
        <v>1.5565054067621509</v>
      </c>
      <c r="BC404" s="60" t="str">
        <f t="shared" ref="BC404:BC467" si="399">IMPRODUCT(AS404,IMDIV(AZ404,IMPRODUCT(AT404,AW404)))</f>
        <v>-0.0449333269384481+0.17534303062726i</v>
      </c>
      <c r="BD404" s="51">
        <f t="shared" ref="BD404:BD467" si="400">20*LOG(IMABS(BC404))</f>
        <v>-14.846006668563623</v>
      </c>
      <c r="BE404" s="63">
        <f t="shared" ref="BE404:BE467" si="401">(180/PI())*IMARGUMENT(BC404)</f>
        <v>104.37329239185802</v>
      </c>
      <c r="BF404" s="60" t="str">
        <f t="shared" ref="BF404:BF467" si="402">IMPRODUCT(AC404,BC404)</f>
        <v>0.0383563054819088-0.0167914822959243i</v>
      </c>
      <c r="BG404" s="66">
        <f t="shared" ref="BG404:BG467" si="403">20*LOG(IMABS(BF404))</f>
        <v>-27.561784348737646</v>
      </c>
      <c r="BH404" s="63">
        <f t="shared" ref="BH404:BH467" si="404">(180/PI())*IMARGUMENT(BF404)</f>
        <v>-23.642664896895351</v>
      </c>
      <c r="BI404" s="60" t="e">
        <f t="shared" si="357"/>
        <v>#NUM!</v>
      </c>
      <c r="BJ404" s="66" t="e">
        <f t="shared" ref="BJ404:BJ467" si="405">20*LOG(IMABS(BI404))</f>
        <v>#NUM!</v>
      </c>
      <c r="BK404" s="63" t="e">
        <f t="shared" si="358"/>
        <v>#NUM!</v>
      </c>
      <c r="BL404" s="51">
        <f t="shared" ref="BL404:BL467" si="406">IF($B$31=0,BJ404,BG404)</f>
        <v>-27.561784348737646</v>
      </c>
      <c r="BM404" s="63">
        <f t="shared" ref="BM404:BM467" si="407">IF($B$31=0,BK404,BH404)</f>
        <v>-23.642664896895351</v>
      </c>
    </row>
    <row r="405" spans="14:65" x14ac:dyDescent="0.3">
      <c r="N405" s="11">
        <v>87</v>
      </c>
      <c r="O405" s="52">
        <f t="shared" si="359"/>
        <v>74131.024130091857</v>
      </c>
      <c r="P405" s="50" t="str">
        <f t="shared" si="360"/>
        <v>23.3035714285714</v>
      </c>
      <c r="Q405" s="18" t="str">
        <f t="shared" si="361"/>
        <v>1+176.66330615744i</v>
      </c>
      <c r="R405" s="18">
        <f t="shared" si="372"/>
        <v>176.66613637728474</v>
      </c>
      <c r="S405" s="18">
        <f t="shared" si="373"/>
        <v>1.565135902218949</v>
      </c>
      <c r="T405" s="18" t="str">
        <f t="shared" si="362"/>
        <v>1+0.824428762068054i</v>
      </c>
      <c r="U405" s="18">
        <f t="shared" si="374"/>
        <v>1.2960257650699172</v>
      </c>
      <c r="V405" s="18">
        <f t="shared" si="375"/>
        <v>0.68946005327915016</v>
      </c>
      <c r="W405" s="32" t="str">
        <f t="shared" si="363"/>
        <v>1-1.13857079507201i</v>
      </c>
      <c r="X405" s="18">
        <f t="shared" si="376"/>
        <v>1.515369082234064</v>
      </c>
      <c r="Y405" s="18">
        <f t="shared" si="377"/>
        <v>-0.85010369091346893</v>
      </c>
      <c r="Z405" s="32" t="str">
        <f t="shared" si="364"/>
        <v>0.978018365045695+0.558806664729997i</v>
      </c>
      <c r="AA405" s="18">
        <f t="shared" si="378"/>
        <v>1.1264034849525801</v>
      </c>
      <c r="AB405" s="18">
        <f t="shared" si="379"/>
        <v>0.51909911607693071</v>
      </c>
      <c r="AC405" s="68" t="str">
        <f t="shared" si="380"/>
        <v>-0.143554736703728-0.179685897297862i</v>
      </c>
      <c r="AD405" s="66">
        <f t="shared" si="381"/>
        <v>-12.765855089333609</v>
      </c>
      <c r="AE405" s="63">
        <f t="shared" si="382"/>
        <v>-128.62207250380112</v>
      </c>
      <c r="AF405" s="51" t="e">
        <f t="shared" si="383"/>
        <v>#NUM!</v>
      </c>
      <c r="AG405" s="51" t="str">
        <f t="shared" si="365"/>
        <v>1-247.328628620417i</v>
      </c>
      <c r="AH405" s="51">
        <f t="shared" si="384"/>
        <v>247.33065021395177</v>
      </c>
      <c r="AI405" s="51">
        <f t="shared" si="385"/>
        <v>-1.566753145233319</v>
      </c>
      <c r="AJ405" s="51" t="str">
        <f t="shared" si="366"/>
        <v>1+0.824428762068054i</v>
      </c>
      <c r="AK405" s="51">
        <f t="shared" si="386"/>
        <v>1.2960257650699172</v>
      </c>
      <c r="AL405" s="51">
        <f t="shared" si="387"/>
        <v>0.68946005327915016</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-0.000170731707317073</v>
      </c>
      <c r="AT405" s="32" t="str">
        <f t="shared" si="369"/>
        <v>0.017699600541574i</v>
      </c>
      <c r="AU405" s="32">
        <f t="shared" si="393"/>
        <v>1.7699600541574E-2</v>
      </c>
      <c r="AV405" s="32">
        <f t="shared" si="394"/>
        <v>1.5707963267948966</v>
      </c>
      <c r="AW405" s="32" t="str">
        <f t="shared" si="370"/>
        <v>1+3.76839694633069i</v>
      </c>
      <c r="AX405" s="32">
        <f t="shared" si="395"/>
        <v>3.8988223279747523</v>
      </c>
      <c r="AY405" s="32">
        <f t="shared" si="396"/>
        <v>1.3114097399042131</v>
      </c>
      <c r="AZ405" s="32" t="str">
        <f t="shared" si="371"/>
        <v>1+71.5995419802831i</v>
      </c>
      <c r="BA405" s="32">
        <f t="shared" si="397"/>
        <v>71.60652492466258</v>
      </c>
      <c r="BB405" s="32">
        <f t="shared" si="398"/>
        <v>1.5568306650285992</v>
      </c>
      <c r="BC405" s="60" t="str">
        <f t="shared" si="399"/>
        <v>-0.0430440351668866+0.171853087546396i</v>
      </c>
      <c r="BD405" s="51">
        <f t="shared" si="400"/>
        <v>-15.032602567162424</v>
      </c>
      <c r="BE405" s="63">
        <f t="shared" si="401"/>
        <v>104.06158321382344</v>
      </c>
      <c r="BF405" s="60" t="str">
        <f t="shared" si="402"/>
        <v>0.0370587513742306-0.0169359186521628i</v>
      </c>
      <c r="BG405" s="66">
        <f t="shared" si="403"/>
        <v>-27.798457656496044</v>
      </c>
      <c r="BH405" s="63">
        <f t="shared" si="404"/>
        <v>-24.560489289977639</v>
      </c>
      <c r="BI405" s="60" t="e">
        <f t="shared" si="357"/>
        <v>#NUM!</v>
      </c>
      <c r="BJ405" s="66" t="e">
        <f t="shared" si="405"/>
        <v>#NUM!</v>
      </c>
      <c r="BK405" s="63" t="e">
        <f t="shared" si="358"/>
        <v>#NUM!</v>
      </c>
      <c r="BL405" s="51">
        <f t="shared" si="406"/>
        <v>-27.798457656496044</v>
      </c>
      <c r="BM405" s="63">
        <f t="shared" si="407"/>
        <v>-24.560489289977639</v>
      </c>
    </row>
    <row r="406" spans="14:65" x14ac:dyDescent="0.3">
      <c r="N406" s="11">
        <v>88</v>
      </c>
      <c r="O406" s="52">
        <f t="shared" si="359"/>
        <v>75857.757502918481</v>
      </c>
      <c r="P406" s="50" t="str">
        <f t="shared" si="360"/>
        <v>23.3035714285714</v>
      </c>
      <c r="Q406" s="18" t="str">
        <f t="shared" si="361"/>
        <v>1+180.778323184057i</v>
      </c>
      <c r="R406" s="18">
        <f t="shared" si="372"/>
        <v>180.78108898122991</v>
      </c>
      <c r="S406" s="18">
        <f t="shared" si="373"/>
        <v>1.5652647465539344</v>
      </c>
      <c r="T406" s="18" t="str">
        <f t="shared" si="362"/>
        <v>1+0.843632174858935i</v>
      </c>
      <c r="U406" s="18">
        <f t="shared" si="374"/>
        <v>1.3083253595559541</v>
      </c>
      <c r="V406" s="18">
        <f t="shared" si="375"/>
        <v>0.70078557733609126</v>
      </c>
      <c r="W406" s="32" t="str">
        <f t="shared" si="363"/>
        <v>1-1.16509151581272i</v>
      </c>
      <c r="X406" s="18">
        <f t="shared" si="376"/>
        <v>1.5353951413948075</v>
      </c>
      <c r="Y406" s="18">
        <f t="shared" si="377"/>
        <v>-0.86150241241920911</v>
      </c>
      <c r="Z406" s="32" t="str">
        <f t="shared" si="364"/>
        <v>0.976982402506514+0.571822944057986i</v>
      </c>
      <c r="AA406" s="18">
        <f t="shared" si="378"/>
        <v>1.1320230095534907</v>
      </c>
      <c r="AB406" s="18">
        <f t="shared" si="379"/>
        <v>0.52953684771777643</v>
      </c>
      <c r="AC406" s="68" t="str">
        <f t="shared" si="380"/>
        <v>-0.144671069319257-0.177184101485957i</v>
      </c>
      <c r="AD406" s="66">
        <f t="shared" si="381"/>
        <v>-12.81299692844911</v>
      </c>
      <c r="AE406" s="63">
        <f t="shared" si="382"/>
        <v>-129.23168661600803</v>
      </c>
      <c r="AF406" s="51" t="e">
        <f t="shared" si="383"/>
        <v>#NUM!</v>
      </c>
      <c r="AG406" s="51" t="str">
        <f t="shared" si="365"/>
        <v>1-253.089652457681i</v>
      </c>
      <c r="AH406" s="51">
        <f t="shared" si="384"/>
        <v>253.09162803449223</v>
      </c>
      <c r="AI406" s="51">
        <f t="shared" si="385"/>
        <v>-1.5668451783128239</v>
      </c>
      <c r="AJ406" s="51" t="str">
        <f t="shared" si="366"/>
        <v>1+0.843632174858935i</v>
      </c>
      <c r="AK406" s="51">
        <f t="shared" si="386"/>
        <v>1.3083253595559541</v>
      </c>
      <c r="AL406" s="51">
        <f t="shared" si="387"/>
        <v>0.70078557733609126</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-0.000170731707317073</v>
      </c>
      <c r="AT406" s="32" t="str">
        <f t="shared" si="369"/>
        <v>0.0181118772003613i</v>
      </c>
      <c r="AU406" s="32">
        <f t="shared" si="393"/>
        <v>1.8111877200361299E-2</v>
      </c>
      <c r="AV406" s="32">
        <f t="shared" si="394"/>
        <v>1.5707963267948966</v>
      </c>
      <c r="AW406" s="32" t="str">
        <f t="shared" si="370"/>
        <v>1+3.85617418731238i</v>
      </c>
      <c r="AX406" s="32">
        <f t="shared" si="395"/>
        <v>3.9837268183064833</v>
      </c>
      <c r="AY406" s="32">
        <f t="shared" si="396"/>
        <v>1.317061207528152</v>
      </c>
      <c r="AZ406" s="32" t="str">
        <f t="shared" si="371"/>
        <v>1+73.2673095589353i</v>
      </c>
      <c r="BA406" s="32">
        <f t="shared" si="397"/>
        <v>73.274133567070251</v>
      </c>
      <c r="BB406" s="32">
        <f t="shared" si="398"/>
        <v>1.5571485223685202</v>
      </c>
      <c r="BC406" s="60" t="str">
        <f t="shared" si="399"/>
        <v>-0.0412288069849914+0.168411966618619i</v>
      </c>
      <c r="BD406" s="51">
        <f t="shared" si="400"/>
        <v>-15.219762783188504</v>
      </c>
      <c r="BE406" s="63">
        <f t="shared" si="401"/>
        <v>103.75598985498169</v>
      </c>
      <c r="BF406" s="60" t="str">
        <f t="shared" si="402"/>
        <v>0.0358045385780789-0.017059250175901i</v>
      </c>
      <c r="BG406" s="66">
        <f t="shared" si="403"/>
        <v>-28.03275971163762</v>
      </c>
      <c r="BH406" s="63">
        <f t="shared" si="404"/>
        <v>-25.475696761026398</v>
      </c>
      <c r="BI406" s="60" t="e">
        <f t="shared" si="357"/>
        <v>#NUM!</v>
      </c>
      <c r="BJ406" s="66" t="e">
        <f t="shared" si="405"/>
        <v>#NUM!</v>
      </c>
      <c r="BK406" s="63" t="e">
        <f t="shared" si="358"/>
        <v>#NUM!</v>
      </c>
      <c r="BL406" s="51">
        <f t="shared" si="406"/>
        <v>-28.03275971163762</v>
      </c>
      <c r="BM406" s="63">
        <f t="shared" si="407"/>
        <v>-25.475696761026398</v>
      </c>
    </row>
    <row r="407" spans="14:65" x14ac:dyDescent="0.3">
      <c r="N407" s="11">
        <v>89</v>
      </c>
      <c r="O407" s="52">
        <f t="shared" si="359"/>
        <v>77624.711662869129</v>
      </c>
      <c r="P407" s="50" t="str">
        <f t="shared" si="360"/>
        <v>23.3035714285714</v>
      </c>
      <c r="Q407" s="18" t="str">
        <f t="shared" si="361"/>
        <v>1+184.989191270511i</v>
      </c>
      <c r="R407" s="18">
        <f t="shared" si="372"/>
        <v>184.99189411138451</v>
      </c>
      <c r="S407" s="18">
        <f t="shared" si="373"/>
        <v>1.5653906582112596</v>
      </c>
      <c r="T407" s="18" t="str">
        <f t="shared" si="362"/>
        <v>1+0.863282892595719i</v>
      </c>
      <c r="U407" s="18">
        <f t="shared" si="374"/>
        <v>1.3210818871850571</v>
      </c>
      <c r="V407" s="18">
        <f t="shared" si="375"/>
        <v>0.71215510117073688</v>
      </c>
      <c r="W407" s="32" t="str">
        <f t="shared" si="363"/>
        <v>1-1.19222998349691i</v>
      </c>
      <c r="X407" s="18">
        <f t="shared" si="376"/>
        <v>1.5560887935940679</v>
      </c>
      <c r="Y407" s="18">
        <f t="shared" si="377"/>
        <v>-0.87286141307824905</v>
      </c>
      <c r="Z407" s="32" t="str">
        <f t="shared" si="364"/>
        <v>0.975897616557026+0.585142411479886i</v>
      </c>
      <c r="AA407" s="18">
        <f t="shared" si="378"/>
        <v>1.1378786401520069</v>
      </c>
      <c r="AB407" s="18">
        <f t="shared" si="379"/>
        <v>0.54012095957818695</v>
      </c>
      <c r="AC407" s="68" t="str">
        <f t="shared" si="380"/>
        <v>-0.145813895092329-0.174733755254903i</v>
      </c>
      <c r="AD407" s="66">
        <f t="shared" si="381"/>
        <v>-12.857240925252158</v>
      </c>
      <c r="AE407" s="63">
        <f t="shared" si="382"/>
        <v>-129.8447228285111</v>
      </c>
      <c r="AF407" s="51" t="e">
        <f t="shared" si="383"/>
        <v>#NUM!</v>
      </c>
      <c r="AG407" s="51" t="str">
        <f t="shared" si="365"/>
        <v>1-258.984867778716i</v>
      </c>
      <c r="AH407" s="51">
        <f t="shared" si="384"/>
        <v>258.98679838624793</v>
      </c>
      <c r="AI407" s="51">
        <f t="shared" si="385"/>
        <v>-1.5669351165283523</v>
      </c>
      <c r="AJ407" s="51" t="str">
        <f t="shared" si="366"/>
        <v>1+0.863282892595719i</v>
      </c>
      <c r="AK407" s="51">
        <f t="shared" si="386"/>
        <v>1.3210818871850571</v>
      </c>
      <c r="AL407" s="51">
        <f t="shared" si="387"/>
        <v>0.71215510117073688</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-0.000170731707317073</v>
      </c>
      <c r="AT407" s="32" t="str">
        <f t="shared" si="369"/>
        <v>0.0185337570161793i</v>
      </c>
      <c r="AU407" s="32">
        <f t="shared" si="393"/>
        <v>1.8533757016179299E-2</v>
      </c>
      <c r="AV407" s="32">
        <f t="shared" si="394"/>
        <v>1.5707963267948966</v>
      </c>
      <c r="AW407" s="32" t="str">
        <f t="shared" si="370"/>
        <v>1+3.94599602289068i</v>
      </c>
      <c r="AX407" s="32">
        <f t="shared" si="395"/>
        <v>4.0707351440088884</v>
      </c>
      <c r="AY407" s="32">
        <f t="shared" si="396"/>
        <v>1.322600084906624</v>
      </c>
      <c r="AZ407" s="32" t="str">
        <f t="shared" si="371"/>
        <v>1+74.9739244349231i</v>
      </c>
      <c r="BA407" s="32">
        <f t="shared" si="397"/>
        <v>74.980593123644738</v>
      </c>
      <c r="BB407" s="32">
        <f t="shared" si="398"/>
        <v>1.557459147057022</v>
      </c>
      <c r="BC407" s="60" t="str">
        <f t="shared" si="399"/>
        <v>-0.0394851846587007+0.165020313517321i</v>
      </c>
      <c r="BD407" s="51">
        <f t="shared" si="400"/>
        <v>-15.407465135292655</v>
      </c>
      <c r="BE407" s="63">
        <f t="shared" si="401"/>
        <v>103.45643304161842</v>
      </c>
      <c r="BF407" s="60" t="str">
        <f t="shared" si="402"/>
        <v>0.0345921076477479-0.0171628600909698i</v>
      </c>
      <c r="BG407" s="66">
        <f t="shared" si="403"/>
        <v>-28.264706060544821</v>
      </c>
      <c r="BH407" s="63">
        <f t="shared" si="404"/>
        <v>-26.38828978689267</v>
      </c>
      <c r="BI407" s="60" t="e">
        <f t="shared" si="357"/>
        <v>#NUM!</v>
      </c>
      <c r="BJ407" s="66" t="e">
        <f t="shared" si="405"/>
        <v>#NUM!</v>
      </c>
      <c r="BK407" s="63" t="e">
        <f t="shared" si="358"/>
        <v>#NUM!</v>
      </c>
      <c r="BL407" s="51">
        <f t="shared" si="406"/>
        <v>-28.264706060544821</v>
      </c>
      <c r="BM407" s="63">
        <f t="shared" si="407"/>
        <v>-26.38828978689267</v>
      </c>
    </row>
    <row r="408" spans="14:65" x14ac:dyDescent="0.3">
      <c r="N408" s="11">
        <v>90</v>
      </c>
      <c r="O408" s="52">
        <f t="shared" si="359"/>
        <v>79432.823472428237</v>
      </c>
      <c r="P408" s="50" t="str">
        <f t="shared" si="360"/>
        <v>23.3035714285714</v>
      </c>
      <c r="Q408" s="18" t="str">
        <f t="shared" si="361"/>
        <v>1+189.298143074798i</v>
      </c>
      <c r="R408" s="18">
        <f t="shared" si="372"/>
        <v>189.30078439237036</v>
      </c>
      <c r="S408" s="18">
        <f t="shared" si="373"/>
        <v>1.5655137039349734</v>
      </c>
      <c r="T408" s="18" t="str">
        <f t="shared" si="362"/>
        <v>1+0.88339133434906i</v>
      </c>
      <c r="U408" s="18">
        <f t="shared" si="374"/>
        <v>1.3343089033664628</v>
      </c>
      <c r="V408" s="18">
        <f t="shared" si="375"/>
        <v>0.72356289635154225</v>
      </c>
      <c r="W408" s="32" t="str">
        <f t="shared" si="363"/>
        <v>1-1.22000058729939i</v>
      </c>
      <c r="X408" s="18">
        <f t="shared" si="376"/>
        <v>1.5774667771496351</v>
      </c>
      <c r="Y408" s="18">
        <f t="shared" si="377"/>
        <v>-0.88417499147990808</v>
      </c>
      <c r="Z408" s="32" t="str">
        <f t="shared" si="364"/>
        <v>0.974761706220792+0.59877212915363i</v>
      </c>
      <c r="AA408" s="18">
        <f t="shared" si="378"/>
        <v>1.1439792159675108</v>
      </c>
      <c r="AB408" s="18">
        <f t="shared" si="379"/>
        <v>0.55085004014104333</v>
      </c>
      <c r="AC408" s="68" t="str">
        <f t="shared" si="380"/>
        <v>-0.146983145737194-0.172331901379835i</v>
      </c>
      <c r="AD408" s="66">
        <f t="shared" si="381"/>
        <v>-12.898629154542522</v>
      </c>
      <c r="AE408" s="63">
        <f t="shared" si="382"/>
        <v>-130.46110563966968</v>
      </c>
      <c r="AF408" s="51" t="e">
        <f t="shared" si="383"/>
        <v>#NUM!</v>
      </c>
      <c r="AG408" s="51" t="str">
        <f t="shared" si="365"/>
        <v>1-265.017400304718i</v>
      </c>
      <c r="AH408" s="51">
        <f t="shared" si="384"/>
        <v>265.0192869665737</v>
      </c>
      <c r="AI408" s="51">
        <f t="shared" si="385"/>
        <v>-1.5670230075605129</v>
      </c>
      <c r="AJ408" s="51" t="str">
        <f t="shared" si="366"/>
        <v>1+0.88339133434906i</v>
      </c>
      <c r="AK408" s="51">
        <f t="shared" si="386"/>
        <v>1.3343089033664628</v>
      </c>
      <c r="AL408" s="51">
        <f t="shared" si="387"/>
        <v>0.72356289635154225</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-0.000170731707317073</v>
      </c>
      <c r="AT408" s="32" t="str">
        <f t="shared" si="369"/>
        <v>0.0189654636752905i</v>
      </c>
      <c r="AU408" s="32">
        <f t="shared" si="393"/>
        <v>1.8965463675290499E-2</v>
      </c>
      <c r="AV408" s="32">
        <f t="shared" si="394"/>
        <v>1.5707963267948966</v>
      </c>
      <c r="AW408" s="32" t="str">
        <f t="shared" si="370"/>
        <v>1+4.03791007779177i</v>
      </c>
      <c r="AX408" s="32">
        <f t="shared" si="395"/>
        <v>4.1598939645539446</v>
      </c>
      <c r="AY408" s="32">
        <f t="shared" si="396"/>
        <v>1.328027948828471</v>
      </c>
      <c r="AZ408" s="32" t="str">
        <f t="shared" si="371"/>
        <v>1+76.7202914780438i</v>
      </c>
      <c r="BA408" s="32">
        <f t="shared" si="397"/>
        <v>76.726808381920861</v>
      </c>
      <c r="BB408" s="32">
        <f t="shared" si="398"/>
        <v>1.5577627035515169</v>
      </c>
      <c r="BC408" s="60" t="str">
        <f t="shared" si="399"/>
        <v>-0.0378107546502691+0.161678669972012i</v>
      </c>
      <c r="BD408" s="51">
        <f t="shared" si="400"/>
        <v>-15.595688183059364</v>
      </c>
      <c r="BE408" s="63">
        <f t="shared" si="401"/>
        <v>103.1628318531037</v>
      </c>
      <c r="BF408" s="60" t="str">
        <f t="shared" si="402"/>
        <v>0.0334199362700335-0.0172480402696046i</v>
      </c>
      <c r="BG408" s="66">
        <f t="shared" si="403"/>
        <v>-28.494317337601878</v>
      </c>
      <c r="BH408" s="63">
        <f t="shared" si="404"/>
        <v>-27.29827378656594</v>
      </c>
      <c r="BI408" s="60" t="e">
        <f t="shared" si="357"/>
        <v>#NUM!</v>
      </c>
      <c r="BJ408" s="66" t="e">
        <f t="shared" si="405"/>
        <v>#NUM!</v>
      </c>
      <c r="BK408" s="63" t="e">
        <f t="shared" si="358"/>
        <v>#NUM!</v>
      </c>
      <c r="BL408" s="51">
        <f t="shared" si="406"/>
        <v>-28.494317337601878</v>
      </c>
      <c r="BM408" s="63">
        <f t="shared" si="407"/>
        <v>-27.29827378656594</v>
      </c>
    </row>
    <row r="409" spans="14:65" x14ac:dyDescent="0.3">
      <c r="N409" s="11">
        <v>91</v>
      </c>
      <c r="O409" s="52">
        <f t="shared" si="359"/>
        <v>81283.051616410012</v>
      </c>
      <c r="P409" s="50" t="str">
        <f t="shared" si="360"/>
        <v>23.3035714285714</v>
      </c>
      <c r="Q409" s="18" t="str">
        <f t="shared" si="361"/>
        <v>1+193.707463260201i</v>
      </c>
      <c r="R409" s="18">
        <f t="shared" si="372"/>
        <v>193.71004445485556</v>
      </c>
      <c r="S409" s="18">
        <f t="shared" si="373"/>
        <v>1.5656339489506352</v>
      </c>
      <c r="T409" s="18" t="str">
        <f t="shared" si="362"/>
        <v>1+0.903968161880937i</v>
      </c>
      <c r="U409" s="18">
        <f t="shared" si="374"/>
        <v>1.348020191871917</v>
      </c>
      <c r="V409" s="18">
        <f t="shared" si="375"/>
        <v>0.73500313566664277</v>
      </c>
      <c r="W409" s="32" t="str">
        <f t="shared" si="363"/>
        <v>1-1.24841805156187i</v>
      </c>
      <c r="X409" s="18">
        <f t="shared" si="376"/>
        <v>1.5995460704417162</v>
      </c>
      <c r="Y409" s="18">
        <f t="shared" si="377"/>
        <v>-0.89543756215539916</v>
      </c>
      <c r="Z409" s="32" t="str">
        <f t="shared" si="364"/>
        <v>0.973572262079696+0.612719323735936i</v>
      </c>
      <c r="AA409" s="18">
        <f t="shared" si="378"/>
        <v>1.1503338294470866</v>
      </c>
      <c r="AB409" s="18">
        <f t="shared" si="379"/>
        <v>0.56172248375705136</v>
      </c>
      <c r="AC409" s="68" t="str">
        <f t="shared" si="380"/>
        <v>-0.148178680146051-0.16997559470549i</v>
      </c>
      <c r="AD409" s="66">
        <f t="shared" si="381"/>
        <v>-12.93720794513388</v>
      </c>
      <c r="AE409" s="63">
        <f t="shared" si="382"/>
        <v>-131.08076064056451</v>
      </c>
      <c r="AF409" s="51" t="e">
        <f t="shared" si="383"/>
        <v>#NUM!</v>
      </c>
      <c r="AG409" s="51" t="str">
        <f t="shared" si="365"/>
        <v>1-271.190448564281i</v>
      </c>
      <c r="AH409" s="51">
        <f t="shared" si="384"/>
        <v>271.19229228076512</v>
      </c>
      <c r="AI409" s="51">
        <f t="shared" si="385"/>
        <v>-1.56710889800486</v>
      </c>
      <c r="AJ409" s="51" t="str">
        <f t="shared" si="366"/>
        <v>1+0.903968161880937i</v>
      </c>
      <c r="AK409" s="51">
        <f t="shared" si="386"/>
        <v>1.348020191871917</v>
      </c>
      <c r="AL409" s="51">
        <f t="shared" si="387"/>
        <v>0.73500313566664277</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-0.000170731707317073</v>
      </c>
      <c r="AT409" s="32" t="str">
        <f t="shared" si="369"/>
        <v>0.01940722607428i</v>
      </c>
      <c r="AU409" s="32">
        <f t="shared" si="393"/>
        <v>1.9407226074279998E-2</v>
      </c>
      <c r="AV409" s="32">
        <f t="shared" si="394"/>
        <v>1.5707963267948966</v>
      </c>
      <c r="AW409" s="32" t="str">
        <f t="shared" si="370"/>
        <v>1+4.13196508606415i</v>
      </c>
      <c r="AX409" s="32">
        <f t="shared" si="395"/>
        <v>4.2512510479214374</v>
      </c>
      <c r="AY409" s="32">
        <f t="shared" si="396"/>
        <v>1.333346397359539</v>
      </c>
      <c r="AZ409" s="32" t="str">
        <f t="shared" si="371"/>
        <v>1+78.507336635219i</v>
      </c>
      <c r="BA409" s="32">
        <f t="shared" si="397"/>
        <v>78.513705208425861</v>
      </c>
      <c r="BB409" s="32">
        <f t="shared" si="398"/>
        <v>1.5580593525777744</v>
      </c>
      <c r="BC409" s="60" t="str">
        <f t="shared" si="399"/>
        <v>-0.0362031502439933+0.158387479472538i</v>
      </c>
      <c r="BD409" s="51">
        <f t="shared" si="400"/>
        <v>-15.78441121324934</v>
      </c>
      <c r="BE409" s="63">
        <f t="shared" si="401"/>
        <v>102.87510393591717</v>
      </c>
      <c r="BF409" s="60" t="str">
        <f t="shared" si="402"/>
        <v>0.0322865410375324-0.0173159956669655i</v>
      </c>
      <c r="BG409" s="66">
        <f t="shared" si="403"/>
        <v>-28.721619158383209</v>
      </c>
      <c r="BH409" s="63">
        <f t="shared" si="404"/>
        <v>-28.205656704647343</v>
      </c>
      <c r="BI409" s="60" t="e">
        <f t="shared" si="357"/>
        <v>#NUM!</v>
      </c>
      <c r="BJ409" s="66" t="e">
        <f t="shared" si="405"/>
        <v>#NUM!</v>
      </c>
      <c r="BK409" s="63" t="e">
        <f t="shared" si="358"/>
        <v>#NUM!</v>
      </c>
      <c r="BL409" s="51">
        <f t="shared" si="406"/>
        <v>-28.721619158383209</v>
      </c>
      <c r="BM409" s="63">
        <f t="shared" si="407"/>
        <v>-28.205656704647343</v>
      </c>
    </row>
    <row r="410" spans="14:65" x14ac:dyDescent="0.3">
      <c r="N410" s="11">
        <v>92</v>
      </c>
      <c r="O410" s="52">
        <f t="shared" si="359"/>
        <v>83176.377110267174</v>
      </c>
      <c r="P410" s="50" t="str">
        <f t="shared" si="360"/>
        <v>23.3035714285714</v>
      </c>
      <c r="Q410" s="18" t="str">
        <f t="shared" si="361"/>
        <v>1+198.219489706645i</v>
      </c>
      <c r="R410" s="18">
        <f t="shared" si="372"/>
        <v>198.22201214689235</v>
      </c>
      <c r="S410" s="18">
        <f t="shared" si="373"/>
        <v>1.565751456999827</v>
      </c>
      <c r="T410" s="18" t="str">
        <f t="shared" si="362"/>
        <v>1+0.925024285297677i</v>
      </c>
      <c r="U410" s="18">
        <f t="shared" si="374"/>
        <v>1.3622297634358449</v>
      </c>
      <c r="V410" s="18">
        <f t="shared" si="375"/>
        <v>0.74646990753715425</v>
      </c>
      <c r="W410" s="32" t="str">
        <f t="shared" si="363"/>
        <v>1-1.27749744360006i</v>
      </c>
      <c r="X410" s="18">
        <f t="shared" si="376"/>
        <v>1.6223438964672958</v>
      </c>
      <c r="Y410" s="18">
        <f t="shared" si="377"/>
        <v>-0.90664366850171108</v>
      </c>
      <c r="Z410" s="32" t="str">
        <f t="shared" si="364"/>
        <v>0.972326761163242+0.626991390213986i</v>
      </c>
      <c r="AA410" s="18">
        <f t="shared" si="378"/>
        <v>1.1569518286759684</v>
      </c>
      <c r="AB410" s="18">
        <f t="shared" si="379"/>
        <v>0.57273648785280873</v>
      </c>
      <c r="AC410" s="68" t="str">
        <f t="shared" si="380"/>
        <v>-0.149400281568409-0.167661905230237i</v>
      </c>
      <c r="AD410" s="66">
        <f t="shared" si="381"/>
        <v>-12.97302776636991</v>
      </c>
      <c r="AE410" s="63">
        <f t="shared" si="382"/>
        <v>-131.70361427166748</v>
      </c>
      <c r="AF410" s="51" t="e">
        <f t="shared" si="383"/>
        <v>#NUM!</v>
      </c>
      <c r="AG410" s="51" t="str">
        <f t="shared" si="365"/>
        <v>1-277.507285589304i</v>
      </c>
      <c r="AH410" s="51">
        <f t="shared" si="384"/>
        <v>277.50908733795285</v>
      </c>
      <c r="AI410" s="51">
        <f t="shared" si="385"/>
        <v>-1.5671928333965721</v>
      </c>
      <c r="AJ410" s="51" t="str">
        <f t="shared" si="366"/>
        <v>1+0.925024285297677i</v>
      </c>
      <c r="AK410" s="51">
        <f t="shared" si="386"/>
        <v>1.3622297634358449</v>
      </c>
      <c r="AL410" s="51">
        <f t="shared" si="387"/>
        <v>0.74646990753715425</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-0.000170731707317073</v>
      </c>
      <c r="AT410" s="32" t="str">
        <f t="shared" si="369"/>
        <v>0.019859278441419i</v>
      </c>
      <c r="AU410" s="32">
        <f t="shared" si="393"/>
        <v>1.9859278441419E-2</v>
      </c>
      <c r="AV410" s="32">
        <f t="shared" si="394"/>
        <v>1.5707963267948966</v>
      </c>
      <c r="AW410" s="32" t="str">
        <f t="shared" si="370"/>
        <v>1+4.22821091691819i</v>
      </c>
      <c r="AX410" s="32">
        <f t="shared" si="395"/>
        <v>4.3448552976993557</v>
      </c>
      <c r="AY410" s="32">
        <f t="shared" si="396"/>
        <v>1.3385570463939656</v>
      </c>
      <c r="AZ410" s="32" t="str">
        <f t="shared" si="371"/>
        <v>1+80.3360074214457i</v>
      </c>
      <c r="BA410" s="32">
        <f t="shared" si="397"/>
        <v>80.342231039588242</v>
      </c>
      <c r="BB410" s="32">
        <f t="shared" si="398"/>
        <v>1.558349251214072</v>
      </c>
      <c r="BC410" s="60" t="str">
        <f t="shared" si="399"/>
        <v>-0.0346600537844768+0.155147092848405i</v>
      </c>
      <c r="BD410" s="51">
        <f t="shared" si="400"/>
        <v>-15.973614225291657</v>
      </c>
      <c r="BE410" s="63">
        <f t="shared" si="401"/>
        <v>102.59316570606707</v>
      </c>
      <c r="BF410" s="60" t="str">
        <f t="shared" si="402"/>
        <v>0.0311904789724731-0.0173678487031839i</v>
      </c>
      <c r="BG410" s="66">
        <f t="shared" si="403"/>
        <v>-28.946641991661572</v>
      </c>
      <c r="BH410" s="63">
        <f t="shared" si="404"/>
        <v>-29.11044856560034</v>
      </c>
      <c r="BI410" s="60" t="e">
        <f t="shared" si="357"/>
        <v>#NUM!</v>
      </c>
      <c r="BJ410" s="66" t="e">
        <f t="shared" si="405"/>
        <v>#NUM!</v>
      </c>
      <c r="BK410" s="63" t="e">
        <f t="shared" si="358"/>
        <v>#NUM!</v>
      </c>
      <c r="BL410" s="51">
        <f t="shared" si="406"/>
        <v>-28.946641991661572</v>
      </c>
      <c r="BM410" s="63">
        <f t="shared" si="407"/>
        <v>-29.11044856560034</v>
      </c>
    </row>
    <row r="411" spans="14:65" x14ac:dyDescent="0.3">
      <c r="N411" s="11">
        <v>93</v>
      </c>
      <c r="O411" s="52">
        <f t="shared" si="359"/>
        <v>85113.803820237721</v>
      </c>
      <c r="P411" s="50" t="str">
        <f t="shared" si="360"/>
        <v>23.3035714285714</v>
      </c>
      <c r="Q411" s="18" t="str">
        <f t="shared" si="361"/>
        <v>1+202.836614750277i</v>
      </c>
      <c r="R411" s="18">
        <f t="shared" si="372"/>
        <v>202.83907977348028</v>
      </c>
      <c r="S411" s="18">
        <f t="shared" si="373"/>
        <v>1.5658662903738836</v>
      </c>
      <c r="T411" s="18" t="str">
        <f t="shared" si="362"/>
        <v>1+0.946570868834625i</v>
      </c>
      <c r="U411" s="18">
        <f t="shared" si="374"/>
        <v>1.3769518545418853</v>
      </c>
      <c r="V411" s="18">
        <f t="shared" si="375"/>
        <v>0.75795723096062873</v>
      </c>
      <c r="W411" s="32" t="str">
        <f t="shared" si="363"/>
        <v>1-1.30725418169251i</v>
      </c>
      <c r="X411" s="18">
        <f t="shared" si="376"/>
        <v>1.6458777280079326</v>
      </c>
      <c r="Y411" s="18">
        <f t="shared" si="377"/>
        <v>-0.91778799492963814</v>
      </c>
      <c r="Z411" s="32" t="str">
        <f t="shared" si="364"/>
        <v>0.971022561597+0.641595895826339i</v>
      </c>
      <c r="AA411" s="18">
        <f t="shared" si="378"/>
        <v>1.163842819572988</v>
      </c>
      <c r="AB411" s="18">
        <f t="shared" si="379"/>
        <v>0.5838900508039726</v>
      </c>
      <c r="AC411" s="68" t="str">
        <f t="shared" si="380"/>
        <v>-0.150647655015917-0.16538792153965i</v>
      </c>
      <c r="AD411" s="66">
        <f t="shared" si="381"/>
        <v>-13.006143094659118</v>
      </c>
      <c r="AE411" s="63">
        <f t="shared" si="382"/>
        <v>-132.329593542753</v>
      </c>
      <c r="AF411" s="51" t="e">
        <f t="shared" si="383"/>
        <v>#NUM!</v>
      </c>
      <c r="AG411" s="51" t="str">
        <f t="shared" si="365"/>
        <v>1-283.971260650388i</v>
      </c>
      <c r="AH411" s="51">
        <f t="shared" si="384"/>
        <v>283.97302138648774</v>
      </c>
      <c r="AI411" s="51">
        <f t="shared" si="385"/>
        <v>-1.5672748582345712</v>
      </c>
      <c r="AJ411" s="51" t="str">
        <f t="shared" si="366"/>
        <v>1+0.946570868834625i</v>
      </c>
      <c r="AK411" s="51">
        <f t="shared" si="386"/>
        <v>1.3769518545418853</v>
      </c>
      <c r="AL411" s="51">
        <f t="shared" si="387"/>
        <v>0.75795723096062873</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-0.000170731707317073</v>
      </c>
      <c r="AT411" s="32" t="str">
        <f t="shared" si="369"/>
        <v>0.0203218604608564i</v>
      </c>
      <c r="AU411" s="32">
        <f t="shared" si="393"/>
        <v>2.0321860460856399E-2</v>
      </c>
      <c r="AV411" s="32">
        <f t="shared" si="394"/>
        <v>1.5707963267948966</v>
      </c>
      <c r="AW411" s="32" t="str">
        <f t="shared" si="370"/>
        <v>1+4.32669860116736i</v>
      </c>
      <c r="AX411" s="32">
        <f t="shared" si="395"/>
        <v>4.4407567807011894</v>
      </c>
      <c r="AY411" s="32">
        <f t="shared" si="396"/>
        <v>1.3436615264014307</v>
      </c>
      <c r="AZ411" s="32" t="str">
        <f t="shared" si="371"/>
        <v>1+82.20727342218i</v>
      </c>
      <c r="BA411" s="32">
        <f t="shared" si="397"/>
        <v>82.21335538408016</v>
      </c>
      <c r="BB411" s="32">
        <f t="shared" si="398"/>
        <v>1.5586325529734852</v>
      </c>
      <c r="BC411" s="60" t="str">
        <f t="shared" si="399"/>
        <v>-0.0331791985541914+0.151957773708259i</v>
      </c>
      <c r="BD411" s="51">
        <f t="shared" si="400"/>
        <v>-16.163277916141062</v>
      </c>
      <c r="BE411" s="63">
        <f t="shared" si="401"/>
        <v>102.31693254017338</v>
      </c>
      <c r="BF411" s="60" t="str">
        <f t="shared" si="402"/>
        <v>0.0301303488128979-0.0174046435833595i</v>
      </c>
      <c r="BG411" s="66">
        <f t="shared" si="403"/>
        <v>-29.169421010800175</v>
      </c>
      <c r="BH411" s="63">
        <f t="shared" si="404"/>
        <v>-30.012661002579581</v>
      </c>
      <c r="BI411" s="60" t="e">
        <f t="shared" si="357"/>
        <v>#NUM!</v>
      </c>
      <c r="BJ411" s="66" t="e">
        <f t="shared" si="405"/>
        <v>#NUM!</v>
      </c>
      <c r="BK411" s="63" t="e">
        <f t="shared" si="358"/>
        <v>#NUM!</v>
      </c>
      <c r="BL411" s="51">
        <f t="shared" si="406"/>
        <v>-29.169421010800175</v>
      </c>
      <c r="BM411" s="63">
        <f t="shared" si="407"/>
        <v>-30.012661002579581</v>
      </c>
    </row>
    <row r="412" spans="14:65" x14ac:dyDescent="0.3">
      <c r="N412" s="11">
        <v>94</v>
      </c>
      <c r="O412" s="52">
        <f t="shared" si="359"/>
        <v>87096.358995608127</v>
      </c>
      <c r="P412" s="50" t="str">
        <f t="shared" si="360"/>
        <v>23.3035714285714</v>
      </c>
      <c r="Q412" s="18" t="str">
        <f t="shared" si="361"/>
        <v>1+207.56128645191i</v>
      </c>
      <c r="R412" s="18">
        <f t="shared" si="372"/>
        <v>207.56369536499355</v>
      </c>
      <c r="S412" s="18">
        <f t="shared" si="373"/>
        <v>1.5659785099468593</v>
      </c>
      <c r="T412" s="18" t="str">
        <f t="shared" si="362"/>
        <v>1+0.968619336775578i</v>
      </c>
      <c r="U412" s="18">
        <f t="shared" si="374"/>
        <v>1.392200926438264</v>
      </c>
      <c r="V412" s="18">
        <f t="shared" si="375"/>
        <v>0.76945907089478371</v>
      </c>
      <c r="W412" s="32" t="str">
        <f t="shared" si="363"/>
        <v>1-1.33770404325566i</v>
      </c>
      <c r="X412" s="18">
        <f t="shared" si="376"/>
        <v>1.6701652934193489</v>
      </c>
      <c r="Y412" s="18">
        <f t="shared" si="377"/>
        <v>-0.92886537817754522</v>
      </c>
      <c r="Z412" s="32" t="str">
        <f t="shared" si="364"/>
        <v>0.969656896998833+0.656540584075186i</v>
      </c>
      <c r="AA412" s="18">
        <f t="shared" si="378"/>
        <v>1.1710166678724909</v>
      </c>
      <c r="AB412" s="18">
        <f t="shared" si="379"/>
        <v>0.5951809705260146</v>
      </c>
      <c r="AC412" s="68" t="str">
        <f t="shared" si="380"/>
        <v>-0.151920424930553-0.163150754577239i</v>
      </c>
      <c r="AD412" s="66">
        <f t="shared" si="381"/>
        <v>-13.036612260645303</v>
      </c>
      <c r="AE412" s="63">
        <f t="shared" si="382"/>
        <v>-132.95862572084908</v>
      </c>
      <c r="AF412" s="51" t="e">
        <f t="shared" si="383"/>
        <v>#NUM!</v>
      </c>
      <c r="AG412" s="51" t="str">
        <f t="shared" si="365"/>
        <v>1-290.585801032674i</v>
      </c>
      <c r="AH412" s="51">
        <f t="shared" si="384"/>
        <v>290.58752168976696</v>
      </c>
      <c r="AI412" s="51">
        <f t="shared" si="385"/>
        <v>-1.5673550160050949</v>
      </c>
      <c r="AJ412" s="51" t="str">
        <f t="shared" si="366"/>
        <v>1+0.968619336775578i</v>
      </c>
      <c r="AK412" s="51">
        <f t="shared" si="386"/>
        <v>1.392200926438264</v>
      </c>
      <c r="AL412" s="51">
        <f t="shared" si="387"/>
        <v>0.76945907089478371</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-0.000170731707317073</v>
      </c>
      <c r="AT412" s="32" t="str">
        <f t="shared" si="369"/>
        <v>0.0207952173997017i</v>
      </c>
      <c r="AU412" s="32">
        <f t="shared" si="393"/>
        <v>2.07952173997017E-2</v>
      </c>
      <c r="AV412" s="32">
        <f t="shared" si="394"/>
        <v>1.5707963267948966</v>
      </c>
      <c r="AW412" s="32" t="str">
        <f t="shared" si="370"/>
        <v>1+4.42748035828551i</v>
      </c>
      <c r="AX412" s="32">
        <f t="shared" si="395"/>
        <v>4.5390067551176863</v>
      </c>
      <c r="AY412" s="32">
        <f t="shared" si="396"/>
        <v>1.348661479365197</v>
      </c>
      <c r="AZ412" s="32" t="str">
        <f t="shared" si="371"/>
        <v>1+84.1221268074248i</v>
      </c>
      <c r="BA412" s="32">
        <f t="shared" si="397"/>
        <v>84.128070336864738</v>
      </c>
      <c r="BB412" s="32">
        <f t="shared" si="398"/>
        <v>1.55890940788435</v>
      </c>
      <c r="BC412" s="60" t="str">
        <f t="shared" si="399"/>
        <v>-0.0317583703164575+0.148819703727136i</v>
      </c>
      <c r="BD412" s="51">
        <f t="shared" si="400"/>
        <v>-16.353383664606092</v>
      </c>
      <c r="BE412" s="63">
        <f t="shared" si="401"/>
        <v>102.04631895551567</v>
      </c>
      <c r="BF412" s="60" t="str">
        <f t="shared" si="402"/>
        <v>0.0291047920726215-0.0174273505469921i</v>
      </c>
      <c r="BG412" s="66">
        <f t="shared" si="403"/>
        <v>-29.389995925251387</v>
      </c>
      <c r="BH412" s="63">
        <f t="shared" si="404"/>
        <v>-30.912306765333433</v>
      </c>
      <c r="BI412" s="60" t="e">
        <f t="shared" si="357"/>
        <v>#NUM!</v>
      </c>
      <c r="BJ412" s="66" t="e">
        <f t="shared" si="405"/>
        <v>#NUM!</v>
      </c>
      <c r="BK412" s="63" t="e">
        <f t="shared" si="358"/>
        <v>#NUM!</v>
      </c>
      <c r="BL412" s="51">
        <f t="shared" si="406"/>
        <v>-29.389995925251387</v>
      </c>
      <c r="BM412" s="63">
        <f t="shared" si="407"/>
        <v>-30.912306765333433</v>
      </c>
    </row>
    <row r="413" spans="14:65" x14ac:dyDescent="0.3">
      <c r="N413" s="11">
        <v>95</v>
      </c>
      <c r="O413" s="52">
        <f t="shared" si="359"/>
        <v>89125.093813374609</v>
      </c>
      <c r="P413" s="50" t="str">
        <f t="shared" si="360"/>
        <v>23.3035714285714</v>
      </c>
      <c r="Q413" s="18" t="str">
        <f t="shared" si="361"/>
        <v>1+212.396009895017i</v>
      </c>
      <c r="R413" s="18">
        <f t="shared" si="372"/>
        <v>212.39836397515907</v>
      </c>
      <c r="S413" s="18">
        <f t="shared" si="373"/>
        <v>1.5660881752077447</v>
      </c>
      <c r="T413" s="18" t="str">
        <f t="shared" si="362"/>
        <v>1+0.991181379510081i</v>
      </c>
      <c r="U413" s="18">
        <f t="shared" si="374"/>
        <v>1.4079916644240147</v>
      </c>
      <c r="V413" s="18">
        <f t="shared" si="375"/>
        <v>0.78096935398640632</v>
      </c>
      <c r="W413" s="32" t="str">
        <f t="shared" si="363"/>
        <v>1-1.36886317320915i</v>
      </c>
      <c r="X413" s="18">
        <f t="shared" si="376"/>
        <v>1.6952245830473978</v>
      </c>
      <c r="Y413" s="18">
        <f t="shared" si="377"/>
        <v>-0.93987081774114967</v>
      </c>
      <c r="Z413" s="32" t="str">
        <f t="shared" si="364"/>
        <v>0.968226870611029+0.671833378832051i</v>
      </c>
      <c r="AA413" s="18">
        <f t="shared" si="378"/>
        <v>1.1784835008968588</v>
      </c>
      <c r="AB413" s="18">
        <f t="shared" si="379"/>
        <v>0.60660684383265717</v>
      </c>
      <c r="AC413" s="68" t="str">
        <f t="shared" si="380"/>
        <v>-0.153218133153979-0.160947541735464i</v>
      </c>
      <c r="AD413" s="66">
        <f t="shared" si="381"/>
        <v>-13.064497277801959</v>
      </c>
      <c r="AE413" s="63">
        <f t="shared" si="382"/>
        <v>-133.59063799170903</v>
      </c>
      <c r="AF413" s="51" t="e">
        <f t="shared" si="383"/>
        <v>#NUM!</v>
      </c>
      <c r="AG413" s="51" t="str">
        <f t="shared" si="365"/>
        <v>1-297.354413853025i</v>
      </c>
      <c r="AH413" s="51">
        <f t="shared" si="384"/>
        <v>297.35609534340483</v>
      </c>
      <c r="AI413" s="51">
        <f t="shared" si="385"/>
        <v>-1.5674333492047314</v>
      </c>
      <c r="AJ413" s="51" t="str">
        <f t="shared" si="366"/>
        <v>1+0.991181379510081i</v>
      </c>
      <c r="AK413" s="51">
        <f t="shared" si="386"/>
        <v>1.4079916644240147</v>
      </c>
      <c r="AL413" s="51">
        <f t="shared" si="387"/>
        <v>0.78096935398640632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-0.000170731707317073</v>
      </c>
      <c r="AT413" s="32" t="str">
        <f t="shared" si="369"/>
        <v>0.0212796002380695i</v>
      </c>
      <c r="AU413" s="32">
        <f t="shared" si="393"/>
        <v>2.1279600238069501E-2</v>
      </c>
      <c r="AV413" s="32">
        <f t="shared" si="394"/>
        <v>1.5707963267948966</v>
      </c>
      <c r="AW413" s="32" t="str">
        <f t="shared" si="370"/>
        <v>1+4.53060962409424i</v>
      </c>
      <c r="AX413" s="32">
        <f t="shared" si="395"/>
        <v>4.6396576992204235</v>
      </c>
      <c r="AY413" s="32">
        <f t="shared" si="396"/>
        <v>1.3535585559053365</v>
      </c>
      <c r="AZ413" s="32" t="str">
        <f t="shared" si="371"/>
        <v>1+86.0815828577907i</v>
      </c>
      <c r="BA413" s="32">
        <f t="shared" si="397"/>
        <v>86.087391105217534</v>
      </c>
      <c r="BB413" s="32">
        <f t="shared" si="398"/>
        <v>1.5591799625689424</v>
      </c>
      <c r="BC413" s="60" t="str">
        <f t="shared" si="399"/>
        <v>-0.0303954085491783+0.145732987771385i</v>
      </c>
      <c r="BD413" s="51">
        <f t="shared" si="400"/>
        <v>-16.543913515247056</v>
      </c>
      <c r="BE413" s="63">
        <f t="shared" si="401"/>
        <v>101.78123877936781</v>
      </c>
      <c r="BF413" s="60" t="str">
        <f t="shared" si="402"/>
        <v>0.0281124938859264-0.0174368700392479i</v>
      </c>
      <c r="BG413" s="66">
        <f t="shared" si="403"/>
        <v>-29.608410793049021</v>
      </c>
      <c r="BH413" s="63">
        <f t="shared" si="404"/>
        <v>-31.809399212341244</v>
      </c>
      <c r="BI413" s="60" t="e">
        <f t="shared" si="357"/>
        <v>#NUM!</v>
      </c>
      <c r="BJ413" s="66" t="e">
        <f t="shared" si="405"/>
        <v>#NUM!</v>
      </c>
      <c r="BK413" s="63" t="e">
        <f t="shared" si="358"/>
        <v>#NUM!</v>
      </c>
      <c r="BL413" s="51">
        <f t="shared" si="406"/>
        <v>-29.608410793049021</v>
      </c>
      <c r="BM413" s="63">
        <f t="shared" si="407"/>
        <v>-31.809399212341244</v>
      </c>
    </row>
    <row r="414" spans="14:65" x14ac:dyDescent="0.3">
      <c r="N414" s="11">
        <v>96</v>
      </c>
      <c r="O414" s="52">
        <f t="shared" si="359"/>
        <v>91201.083935591028</v>
      </c>
      <c r="P414" s="50" t="str">
        <f t="shared" si="360"/>
        <v>23.3035714285714</v>
      </c>
      <c r="Q414" s="18" t="str">
        <f t="shared" si="361"/>
        <v>1+217.343348513965i</v>
      </c>
      <c r="R414" s="18">
        <f t="shared" si="372"/>
        <v>217.34564900927475</v>
      </c>
      <c r="S414" s="18">
        <f t="shared" si="373"/>
        <v>1.5661953442919556</v>
      </c>
      <c r="T414" s="18" t="str">
        <f t="shared" si="362"/>
        <v>1+1.01426895973184i</v>
      </c>
      <c r="U414" s="18">
        <f t="shared" si="374"/>
        <v>1.424338977447261</v>
      </c>
      <c r="V414" s="18">
        <f t="shared" si="375"/>
        <v>0.7924819845463007</v>
      </c>
      <c r="W414" s="32" t="str">
        <f t="shared" si="363"/>
        <v>1-1.40074809253612i</v>
      </c>
      <c r="X414" s="18">
        <f t="shared" si="376"/>
        <v>1.7210738562721759</v>
      </c>
      <c r="Y414" s="18">
        <f t="shared" si="377"/>
        <v>-0.95079948537899495</v>
      </c>
      <c r="Z414" s="32" t="str">
        <f t="shared" si="364"/>
        <v>0.966729449155893+0.687482388539139i</v>
      </c>
      <c r="AA414" s="18">
        <f t="shared" si="378"/>
        <v>1.1862537091266505</v>
      </c>
      <c r="AB414" s="18">
        <f t="shared" si="379"/>
        <v>0.6181650666090539</v>
      </c>
      <c r="AC414" s="68" t="str">
        <f t="shared" si="380"/>
        <v>-0.154540237235209-0.158775451245584i</v>
      </c>
      <c r="AD414" s="66">
        <f t="shared" si="381"/>
        <v>-13.089863653404636</v>
      </c>
      <c r="AE414" s="63">
        <f t="shared" si="382"/>
        <v>-134.22555710086229</v>
      </c>
      <c r="AF414" s="51" t="e">
        <f t="shared" si="383"/>
        <v>#NUM!</v>
      </c>
      <c r="AG414" s="51" t="str">
        <f t="shared" si="365"/>
        <v>1-304.280687919551i</v>
      </c>
      <c r="AH414" s="51">
        <f t="shared" si="384"/>
        <v>304.28233113474596</v>
      </c>
      <c r="AI414" s="51">
        <f t="shared" si="385"/>
        <v>-1.5675098993629328</v>
      </c>
      <c r="AJ414" s="51" t="str">
        <f t="shared" si="366"/>
        <v>1+1.01426895973184i</v>
      </c>
      <c r="AK414" s="51">
        <f t="shared" si="386"/>
        <v>1.424338977447261</v>
      </c>
      <c r="AL414" s="51">
        <f t="shared" si="387"/>
        <v>0.7924819845463007</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-0.000170731707317073</v>
      </c>
      <c r="AT414" s="32" t="str">
        <f t="shared" si="369"/>
        <v>0.0217752658021524i</v>
      </c>
      <c r="AU414" s="32">
        <f t="shared" si="393"/>
        <v>2.1775265802152399E-2</v>
      </c>
      <c r="AV414" s="32">
        <f t="shared" si="394"/>
        <v>1.5707963267948966</v>
      </c>
      <c r="AW414" s="32" t="str">
        <f t="shared" si="370"/>
        <v>1+4.63614107909538i</v>
      </c>
      <c r="AX414" s="32">
        <f t="shared" si="395"/>
        <v>4.7427633406354657</v>
      </c>
      <c r="AY414" s="32">
        <f t="shared" si="396"/>
        <v>1.3583544125812563</v>
      </c>
      <c r="AZ414" s="32" t="str">
        <f t="shared" si="371"/>
        <v>1+88.0866805028124i</v>
      </c>
      <c r="BA414" s="32">
        <f t="shared" si="397"/>
        <v>88.0923565470044</v>
      </c>
      <c r="BB414" s="32">
        <f t="shared" si="398"/>
        <v>1.5594443603204107</v>
      </c>
      <c r="BC414" s="60" t="str">
        <f t="shared" si="399"/>
        <v>-0.0290882073937773+0.142697658853283i</v>
      </c>
      <c r="BD414" s="51">
        <f t="shared" si="400"/>
        <v>-16.73485016193538</v>
      </c>
      <c r="BE414" s="63">
        <f t="shared" si="401"/>
        <v>101.52160530795976</v>
      </c>
      <c r="BF414" s="60" t="str">
        <f t="shared" si="402"/>
        <v>0.0271521836474997-0.0174340367972232i</v>
      </c>
      <c r="BG414" s="66">
        <f t="shared" si="403"/>
        <v>-29.824713815340012</v>
      </c>
      <c r="BH414" s="63">
        <f t="shared" si="404"/>
        <v>-32.703951792902622</v>
      </c>
      <c r="BI414" s="60" t="e">
        <f t="shared" si="357"/>
        <v>#NUM!</v>
      </c>
      <c r="BJ414" s="66" t="e">
        <f t="shared" si="405"/>
        <v>#NUM!</v>
      </c>
      <c r="BK414" s="63" t="e">
        <f t="shared" si="358"/>
        <v>#NUM!</v>
      </c>
      <c r="BL414" s="51">
        <f t="shared" si="406"/>
        <v>-29.824713815340012</v>
      </c>
      <c r="BM414" s="63">
        <f t="shared" si="407"/>
        <v>-32.703951792902622</v>
      </c>
    </row>
    <row r="415" spans="14:65" x14ac:dyDescent="0.3">
      <c r="N415" s="11">
        <v>97</v>
      </c>
      <c r="O415" s="52">
        <f t="shared" si="359"/>
        <v>93325.430079699145</v>
      </c>
      <c r="P415" s="50" t="str">
        <f t="shared" si="360"/>
        <v>23.3035714285714</v>
      </c>
      <c r="Q415" s="18" t="str">
        <f t="shared" si="361"/>
        <v>1+222.405925453174i</v>
      </c>
      <c r="R415" s="18">
        <f t="shared" si="372"/>
        <v>222.40817358335281</v>
      </c>
      <c r="S415" s="18">
        <f t="shared" si="373"/>
        <v>1.5663000740121062</v>
      </c>
      <c r="T415" s="18" t="str">
        <f t="shared" si="362"/>
        <v>1+1.03789431878148i</v>
      </c>
      <c r="U415" s="18">
        <f t="shared" si="374"/>
        <v>1.4412579980554738</v>
      </c>
      <c r="V415" s="18">
        <f t="shared" si="375"/>
        <v>0.80399086066815961</v>
      </c>
      <c r="W415" s="32" t="str">
        <f t="shared" si="363"/>
        <v>1-1.43337570704285i</v>
      </c>
      <c r="X415" s="18">
        <f t="shared" si="376"/>
        <v>1.7477316491786117</v>
      </c>
      <c r="Y415" s="18">
        <f t="shared" si="377"/>
        <v>-0.96164673366241116</v>
      </c>
      <c r="Z415" s="32" t="str">
        <f t="shared" si="364"/>
        <v>0.965161456401757+0.703495910508536i</v>
      </c>
      <c r="AA415" s="18">
        <f t="shared" si="378"/>
        <v>1.1943379475784039</v>
      </c>
      <c r="AB415" s="18">
        <f t="shared" si="379"/>
        <v>0.62985283484292587</v>
      </c>
      <c r="AC415" s="68" t="str">
        <f t="shared" si="380"/>
        <v>-0.15588610911255-0.156631686840222i</v>
      </c>
      <c r="AD415" s="66">
        <f t="shared" si="381"/>
        <v>-13.112780182992873</v>
      </c>
      <c r="AE415" s="63">
        <f t="shared" si="382"/>
        <v>-134.86330898079331</v>
      </c>
      <c r="AF415" s="51" t="e">
        <f t="shared" si="383"/>
        <v>#NUM!</v>
      </c>
      <c r="AG415" s="51" t="str">
        <f t="shared" si="365"/>
        <v>1-311.368295634444i</v>
      </c>
      <c r="AH415" s="51">
        <f t="shared" si="384"/>
        <v>311.36990144568972</v>
      </c>
      <c r="AI415" s="51">
        <f t="shared" si="385"/>
        <v>-1.567584707064015</v>
      </c>
      <c r="AJ415" s="51" t="str">
        <f t="shared" si="366"/>
        <v>1+1.03789431878148i</v>
      </c>
      <c r="AK415" s="51">
        <f t="shared" si="386"/>
        <v>1.4412579980554738</v>
      </c>
      <c r="AL415" s="51">
        <f t="shared" si="387"/>
        <v>0.80399086066815961</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-0.000170731707317073</v>
      </c>
      <c r="AT415" s="32" t="str">
        <f t="shared" si="369"/>
        <v>0.0222824769003933i</v>
      </c>
      <c r="AU415" s="32">
        <f t="shared" si="393"/>
        <v>2.2282476900393301E-2</v>
      </c>
      <c r="AV415" s="32">
        <f t="shared" si="394"/>
        <v>1.5707963267948966</v>
      </c>
      <c r="AW415" s="32" t="str">
        <f t="shared" si="370"/>
        <v>1+4.74413067746324i</v>
      </c>
      <c r="AX415" s="32">
        <f t="shared" si="395"/>
        <v>4.8483786862050922</v>
      </c>
      <c r="AY415" s="32">
        <f t="shared" si="396"/>
        <v>1.3630507093673589</v>
      </c>
      <c r="AZ415" s="32" t="str">
        <f t="shared" si="371"/>
        <v>1+90.1384828718016i</v>
      </c>
      <c r="BA415" s="32">
        <f t="shared" si="397"/>
        <v>90.144029721496651</v>
      </c>
      <c r="BB415" s="32">
        <f t="shared" si="398"/>
        <v>1.5597027411779929</v>
      </c>
      <c r="BC415" s="60" t="str">
        <f t="shared" si="399"/>
        <v>-0.027834716342832+0.139713682909302i</v>
      </c>
      <c r="BD415" s="51">
        <f t="shared" si="400"/>
        <v>-16.926176931156785</v>
      </c>
      <c r="BE415" s="63">
        <f t="shared" si="401"/>
        <v>101.26733145542171</v>
      </c>
      <c r="BF415" s="60" t="str">
        <f t="shared" si="402"/>
        <v>0.0262226354576795-0.0174196238450188i</v>
      </c>
      <c r="BG415" s="66">
        <f t="shared" si="403"/>
        <v>-30.038957114149646</v>
      </c>
      <c r="BH415" s="63">
        <f t="shared" si="404"/>
        <v>-33.59597752537158</v>
      </c>
      <c r="BI415" s="60" t="e">
        <f t="shared" si="357"/>
        <v>#NUM!</v>
      </c>
      <c r="BJ415" s="66" t="e">
        <f t="shared" si="405"/>
        <v>#NUM!</v>
      </c>
      <c r="BK415" s="63" t="e">
        <f t="shared" si="358"/>
        <v>#NUM!</v>
      </c>
      <c r="BL415" s="51">
        <f t="shared" si="406"/>
        <v>-30.038957114149646</v>
      </c>
      <c r="BM415" s="63">
        <f t="shared" si="407"/>
        <v>-33.59597752537158</v>
      </c>
    </row>
    <row r="416" spans="14:65" x14ac:dyDescent="0.3">
      <c r="N416" s="11">
        <v>98</v>
      </c>
      <c r="O416" s="52">
        <f t="shared" si="359"/>
        <v>95499.258602143804</v>
      </c>
      <c r="P416" s="50" t="str">
        <f t="shared" si="360"/>
        <v>23.3035714285714</v>
      </c>
      <c r="Q416" s="18" t="str">
        <f t="shared" si="361"/>
        <v>1+227.586424957949i</v>
      </c>
      <c r="R416" s="18">
        <f t="shared" si="372"/>
        <v>227.58862191493702</v>
      </c>
      <c r="S416" s="18">
        <f t="shared" si="373"/>
        <v>1.5664024198880859</v>
      </c>
      <c r="T416" s="18" t="str">
        <f t="shared" si="362"/>
        <v>1+1.0620699831371i</v>
      </c>
      <c r="U416" s="18">
        <f t="shared" si="374"/>
        <v>1.458764082736081</v>
      </c>
      <c r="V416" s="18">
        <f t="shared" si="375"/>
        <v>0.81548989038759478</v>
      </c>
      <c r="W416" s="32" t="str">
        <f t="shared" si="363"/>
        <v>1-1.46676331632242i</v>
      </c>
      <c r="X416" s="18">
        <f t="shared" si="376"/>
        <v>1.7752167828491101</v>
      </c>
      <c r="Y416" s="18">
        <f t="shared" si="377"/>
        <v>-0.97240810354813578</v>
      </c>
      <c r="Z416" s="32" t="str">
        <f t="shared" si="364"/>
        <v>0.963519566425763+0.719882435321554i</v>
      </c>
      <c r="AA416" s="18">
        <f t="shared" si="378"/>
        <v>1.2027471370033609</v>
      </c>
      <c r="AB416" s="18">
        <f t="shared" si="379"/>
        <v>0.64166714655230128</v>
      </c>
      <c r="AC416" s="68" t="str">
        <f t="shared" si="380"/>
        <v>-0.157255034203874-0.154513492657891i</v>
      </c>
      <c r="AD416" s="66">
        <f t="shared" si="381"/>
        <v>-13.133318729583925</v>
      </c>
      <c r="AE416" s="63">
        <f t="shared" si="382"/>
        <v>-135.50381837114887</v>
      </c>
      <c r="AF416" s="51" t="e">
        <f t="shared" si="383"/>
        <v>#NUM!</v>
      </c>
      <c r="AG416" s="51" t="str">
        <f t="shared" si="365"/>
        <v>1-318.620994941129i</v>
      </c>
      <c r="AH416" s="51">
        <f t="shared" si="384"/>
        <v>318.62256419983032</v>
      </c>
      <c r="AI416" s="51">
        <f t="shared" si="385"/>
        <v>-1.5676578119686608</v>
      </c>
      <c r="AJ416" s="51" t="str">
        <f t="shared" si="366"/>
        <v>1+1.0620699831371i</v>
      </c>
      <c r="AK416" s="51">
        <f t="shared" si="386"/>
        <v>1.458764082736081</v>
      </c>
      <c r="AL416" s="51">
        <f t="shared" si="387"/>
        <v>0.81548989038759478</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-0.000170731707317073</v>
      </c>
      <c r="AT416" s="32" t="str">
        <f t="shared" si="369"/>
        <v>0.0228015024628303i</v>
      </c>
      <c r="AU416" s="32">
        <f t="shared" si="393"/>
        <v>2.28015024628303E-2</v>
      </c>
      <c r="AV416" s="32">
        <f t="shared" si="394"/>
        <v>1.5707963267948966</v>
      </c>
      <c r="AW416" s="32" t="str">
        <f t="shared" si="370"/>
        <v>1+4.85463567671228i</v>
      </c>
      <c r="AX416" s="32">
        <f t="shared" si="395"/>
        <v>4.9565600524565117</v>
      </c>
      <c r="AY416" s="32">
        <f t="shared" si="396"/>
        <v>1.367649107295519</v>
      </c>
      <c r="AZ416" s="32" t="str">
        <f t="shared" si="371"/>
        <v>1+92.2380778575335i</v>
      </c>
      <c r="BA416" s="32">
        <f t="shared" si="397"/>
        <v>92.243498453020592</v>
      </c>
      <c r="BB416" s="32">
        <f t="shared" si="398"/>
        <v>1.5599552420005629</v>
      </c>
      <c r="BC416" s="60" t="str">
        <f t="shared" si="399"/>
        <v>-0.0266329406888487+0.136780963397663i</v>
      </c>
      <c r="BD416" s="51">
        <f t="shared" si="400"/>
        <v>-17.117877765136729</v>
      </c>
      <c r="BE416" s="63">
        <f t="shared" si="401"/>
        <v>101.01832989307333</v>
      </c>
      <c r="BF416" s="60" t="str">
        <f t="shared" si="402"/>
        <v>0.0253226683826587-0.0173943463919539i</v>
      </c>
      <c r="BG416" s="66">
        <f t="shared" si="403"/>
        <v>-30.251196494720645</v>
      </c>
      <c r="BH416" s="63">
        <f t="shared" si="404"/>
        <v>-34.485488478075624</v>
      </c>
      <c r="BI416" s="60" t="e">
        <f t="shared" si="357"/>
        <v>#NUM!</v>
      </c>
      <c r="BJ416" s="66" t="e">
        <f t="shared" si="405"/>
        <v>#NUM!</v>
      </c>
      <c r="BK416" s="63" t="e">
        <f t="shared" si="358"/>
        <v>#NUM!</v>
      </c>
      <c r="BL416" s="51">
        <f t="shared" si="406"/>
        <v>-30.251196494720645</v>
      </c>
      <c r="BM416" s="63">
        <f t="shared" si="407"/>
        <v>-34.485488478075624</v>
      </c>
    </row>
    <row r="417" spans="14:65" x14ac:dyDescent="0.3">
      <c r="N417" s="11">
        <v>99</v>
      </c>
      <c r="O417" s="52">
        <f t="shared" si="359"/>
        <v>97723.722095581266</v>
      </c>
      <c r="P417" s="50" t="str">
        <f t="shared" si="360"/>
        <v>23.3035714285714</v>
      </c>
      <c r="Q417" s="18" t="str">
        <f t="shared" si="361"/>
        <v>1+232.887593797699i</v>
      </c>
      <c r="R417" s="18">
        <f t="shared" si="372"/>
        <v>232.8897407463069</v>
      </c>
      <c r="S417" s="18">
        <f t="shared" si="373"/>
        <v>1.5665024361764515</v>
      </c>
      <c r="T417" s="18" t="str">
        <f t="shared" si="362"/>
        <v>1+1.08680877105593i</v>
      </c>
      <c r="U417" s="18">
        <f t="shared" si="374"/>
        <v>1.476872812683645</v>
      </c>
      <c r="V417" s="18">
        <f t="shared" si="375"/>
        <v>0.82697300777696581</v>
      </c>
      <c r="W417" s="32" t="str">
        <f t="shared" si="363"/>
        <v>1-1.50092862292721i</v>
      </c>
      <c r="X417" s="18">
        <f t="shared" si="376"/>
        <v>1.8035483722712211</v>
      </c>
      <c r="Y417" s="18">
        <f t="shared" si="377"/>
        <v>-0.98307933096091482</v>
      </c>
      <c r="Z417" s="32" t="str">
        <f t="shared" si="364"/>
        <v>0.961800296559142+0.736650651330549i</v>
      </c>
      <c r="AA417" s="18">
        <f t="shared" si="378"/>
        <v>1.2114924649237302</v>
      </c>
      <c r="AB417" s="18">
        <f t="shared" si="379"/>
        <v>0.65360480464315451</v>
      </c>
      <c r="AC417" s="68" t="str">
        <f t="shared" si="380"/>
        <v>-0.158646210936886-0.152418158354114i</v>
      </c>
      <c r="AD417" s="66">
        <f t="shared" si="381"/>
        <v>-13.151553989037808</v>
      </c>
      <c r="AE417" s="63">
        <f t="shared" si="382"/>
        <v>-136.14700843914312</v>
      </c>
      <c r="AF417" s="51" t="e">
        <f t="shared" si="383"/>
        <v>#NUM!</v>
      </c>
      <c r="AG417" s="51" t="str">
        <f t="shared" si="365"/>
        <v>1-326.042631316779i</v>
      </c>
      <c r="AH417" s="51">
        <f t="shared" si="384"/>
        <v>326.04416485496114</v>
      </c>
      <c r="AI417" s="51">
        <f t="shared" si="385"/>
        <v>-1.5677292528349307</v>
      </c>
      <c r="AJ417" s="51" t="str">
        <f t="shared" si="366"/>
        <v>1+1.08680877105593i</v>
      </c>
      <c r="AK417" s="51">
        <f t="shared" si="386"/>
        <v>1.476872812683645</v>
      </c>
      <c r="AL417" s="51">
        <f t="shared" si="387"/>
        <v>0.82697300777696581</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-0.000170731707317073</v>
      </c>
      <c r="AT417" s="32" t="str">
        <f t="shared" si="369"/>
        <v>0.0233326176836866i</v>
      </c>
      <c r="AU417" s="32">
        <f t="shared" si="393"/>
        <v>2.33326176836866E-2</v>
      </c>
      <c r="AV417" s="32">
        <f t="shared" si="394"/>
        <v>1.5707963267948966</v>
      </c>
      <c r="AW417" s="32" t="str">
        <f t="shared" si="370"/>
        <v>1+4.96771466805581i</v>
      </c>
      <c r="AX417" s="32">
        <f t="shared" si="395"/>
        <v>5.0673650966963928</v>
      </c>
      <c r="AY417" s="32">
        <f t="shared" si="396"/>
        <v>1.3721512662579167</v>
      </c>
      <c r="AZ417" s="32" t="str">
        <f t="shared" si="371"/>
        <v>1+94.3865786930605i</v>
      </c>
      <c r="BA417" s="32">
        <f t="shared" si="397"/>
        <v>94.391875907735312</v>
      </c>
      <c r="BB417" s="32">
        <f t="shared" si="398"/>
        <v>1.5602019965385368</v>
      </c>
      <c r="BC417" s="60" t="str">
        <f t="shared" si="399"/>
        <v>-0.0254809417555763+0.133899345712416i</v>
      </c>
      <c r="BD417" s="51">
        <f t="shared" si="400"/>
        <v>-17.309937204856162</v>
      </c>
      <c r="BE417" s="63">
        <f t="shared" si="401"/>
        <v>100.7745131794326</v>
      </c>
      <c r="BF417" s="60" t="str">
        <f t="shared" si="402"/>
        <v>0.0244511465389329-0.0173588656286896i</v>
      </c>
      <c r="BG417" s="66">
        <f t="shared" si="403"/>
        <v>-30.461491193893977</v>
      </c>
      <c r="BH417" s="63">
        <f t="shared" si="404"/>
        <v>-35.372495259710568</v>
      </c>
      <c r="BI417" s="60" t="e">
        <f t="shared" si="357"/>
        <v>#NUM!</v>
      </c>
      <c r="BJ417" s="66" t="e">
        <f t="shared" si="405"/>
        <v>#NUM!</v>
      </c>
      <c r="BK417" s="63" t="e">
        <f t="shared" si="358"/>
        <v>#NUM!</v>
      </c>
      <c r="BL417" s="51">
        <f t="shared" si="406"/>
        <v>-30.461491193893977</v>
      </c>
      <c r="BM417" s="63">
        <f t="shared" si="407"/>
        <v>-35.372495259710568</v>
      </c>
    </row>
    <row r="418" spans="14:65" x14ac:dyDescent="0.3">
      <c r="N418" s="11">
        <v>100</v>
      </c>
      <c r="O418" s="52">
        <f t="shared" si="359"/>
        <v>100000</v>
      </c>
      <c r="P418" s="50" t="str">
        <f t="shared" si="360"/>
        <v>23.3035714285714</v>
      </c>
      <c r="Q418" s="18" t="str">
        <f t="shared" si="361"/>
        <v>1+238.312242722312i</v>
      </c>
      <c r="R418" s="18">
        <f t="shared" si="372"/>
        <v>238.31434080083838</v>
      </c>
      <c r="S418" s="18">
        <f t="shared" si="373"/>
        <v>1.5666001758991539</v>
      </c>
      <c r="T418" s="18" t="str">
        <f t="shared" si="362"/>
        <v>1+1.11212379937079i</v>
      </c>
      <c r="U418" s="18">
        <f t="shared" si="374"/>
        <v>1.4955999950277219</v>
      </c>
      <c r="V418" s="18">
        <f t="shared" si="375"/>
        <v>0.83843418887257282</v>
      </c>
      <c r="W418" s="32" t="str">
        <f t="shared" si="363"/>
        <v>1-1.53588974175501i</v>
      </c>
      <c r="X418" s="18">
        <f t="shared" si="376"/>
        <v>1.8327458358507516</v>
      </c>
      <c r="Y418" s="18">
        <f t="shared" si="377"/>
        <v>-0.9936563523822276</v>
      </c>
      <c r="Z418" s="32" t="str">
        <f t="shared" si="364"/>
        <v>0.96+0.753809449265603i</v>
      </c>
      <c r="AA418" s="18">
        <f t="shared" si="378"/>
        <v>1.2205853865265273</v>
      </c>
      <c r="AB418" s="18">
        <f t="shared" si="379"/>
        <v>0.66566242072419768</v>
      </c>
      <c r="AC418" s="68" t="str">
        <f t="shared" si="380"/>
        <v>-0.160058750747852-0.1503430243794i</v>
      </c>
      <c r="AD418" s="66">
        <f t="shared" si="381"/>
        <v>-13.167563243100354</v>
      </c>
      <c r="AE418" s="63">
        <f t="shared" si="382"/>
        <v>-136.79280040742509</v>
      </c>
      <c r="AF418" s="51" t="e">
        <f t="shared" si="383"/>
        <v>#NUM!</v>
      </c>
      <c r="AG418" s="51" t="str">
        <f t="shared" si="365"/>
        <v>1-333.637139811237i</v>
      </c>
      <c r="AH418" s="51">
        <f t="shared" si="384"/>
        <v>333.63863844198698</v>
      </c>
      <c r="AI418" s="51">
        <f t="shared" si="385"/>
        <v>-1.5677990675387989</v>
      </c>
      <c r="AJ418" s="51" t="str">
        <f t="shared" si="366"/>
        <v>1+1.11212379937079i</v>
      </c>
      <c r="AK418" s="51">
        <f t="shared" si="386"/>
        <v>1.4955999950277219</v>
      </c>
      <c r="AL418" s="51">
        <f t="shared" si="387"/>
        <v>0.83843418887257282</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-0.000170731707317073</v>
      </c>
      <c r="AT418" s="32" t="str">
        <f t="shared" si="369"/>
        <v>0.0238761041672824i</v>
      </c>
      <c r="AU418" s="32">
        <f t="shared" si="393"/>
        <v>2.3876104167282398E-2</v>
      </c>
      <c r="AV418" s="32">
        <f t="shared" si="394"/>
        <v>1.5707963267948966</v>
      </c>
      <c r="AW418" s="32" t="str">
        <f t="shared" si="370"/>
        <v>1+5.08342760747182i</v>
      </c>
      <c r="AX418" s="32">
        <f t="shared" si="395"/>
        <v>5.1808528487505479</v>
      </c>
      <c r="AY418" s="32">
        <f t="shared" si="396"/>
        <v>1.3765588429637021</v>
      </c>
      <c r="AZ418" s="32" t="str">
        <f t="shared" si="371"/>
        <v>1+96.5851245419647i</v>
      </c>
      <c r="BA418" s="32">
        <f t="shared" si="397"/>
        <v>96.590301183849888</v>
      </c>
      <c r="BB418" s="32">
        <f t="shared" si="398"/>
        <v>1.5604431355041726</v>
      </c>
      <c r="BC418" s="60" t="str">
        <f t="shared" si="399"/>
        <v>-0.0243768369321337+0.131068621412602i</v>
      </c>
      <c r="BD418" s="51">
        <f t="shared" si="400"/>
        <v>-17.502340373022946</v>
      </c>
      <c r="BE418" s="63">
        <f t="shared" si="401"/>
        <v>100.53579388131797</v>
      </c>
      <c r="BF418" s="60" t="str">
        <f t="shared" si="402"/>
        <v>0.0236069790109506-0.0173137924163638i</v>
      </c>
      <c r="BG418" s="66">
        <f t="shared" si="403"/>
        <v>-30.6699036161233</v>
      </c>
      <c r="BH418" s="63">
        <f t="shared" si="404"/>
        <v>-36.257006526107091</v>
      </c>
      <c r="BI418" s="60" t="e">
        <f t="shared" si="357"/>
        <v>#NUM!</v>
      </c>
      <c r="BJ418" s="66" t="e">
        <f t="shared" si="405"/>
        <v>#NUM!</v>
      </c>
      <c r="BK418" s="63" t="e">
        <f t="shared" si="358"/>
        <v>#NUM!</v>
      </c>
      <c r="BL418" s="51">
        <f t="shared" si="406"/>
        <v>-30.6699036161233</v>
      </c>
      <c r="BM418" s="63">
        <f t="shared" si="407"/>
        <v>-36.257006526107091</v>
      </c>
    </row>
    <row r="419" spans="14:65" x14ac:dyDescent="0.3">
      <c r="N419" s="11">
        <v>1</v>
      </c>
      <c r="O419" s="52">
        <f>10^(5+(N419/100))</f>
        <v>102329.29922807543</v>
      </c>
      <c r="P419" s="50" t="str">
        <f t="shared" si="360"/>
        <v>23.3035714285714</v>
      </c>
      <c r="Q419" s="18" t="str">
        <f t="shared" si="361"/>
        <v>1+243.863247952452i</v>
      </c>
      <c r="R419" s="18">
        <f t="shared" si="372"/>
        <v>243.86529827328673</v>
      </c>
      <c r="S419" s="18">
        <f t="shared" si="373"/>
        <v>1.5666956908716145</v>
      </c>
      <c r="T419" s="18" t="str">
        <f t="shared" si="362"/>
        <v>1+1.13802849044477i</v>
      </c>
      <c r="U419" s="18">
        <f t="shared" si="374"/>
        <v>1.5149616645526056</v>
      </c>
      <c r="V419" s="18">
        <f t="shared" si="375"/>
        <v>0.84986746733260532</v>
      </c>
      <c r="W419" s="32" t="str">
        <f t="shared" si="363"/>
        <v>1-1.5716652096538i</v>
      </c>
      <c r="X419" s="18">
        <f t="shared" si="376"/>
        <v>1.8628289055187335</v>
      </c>
      <c r="Y419" s="18">
        <f t="shared" si="377"/>
        <v>-1.0041353094498195</v>
      </c>
      <c r="Z419" s="32" t="str">
        <f t="shared" si="364"/>
        <v>0.958114858077964+0.771367926948506i</v>
      </c>
      <c r="AA419" s="18">
        <f t="shared" si="378"/>
        <v>1.230037625438585</v>
      </c>
      <c r="AB419" s="18">
        <f t="shared" si="379"/>
        <v>0.677836419899283</v>
      </c>
      <c r="AC419" s="68" t="str">
        <f t="shared" si="380"/>
        <v>-0.161491678573531-0.148285487380198i</v>
      </c>
      <c r="AD419" s="66">
        <f t="shared" si="381"/>
        <v>-13.181426101761444</v>
      </c>
      <c r="AE419" s="63">
        <f t="shared" si="382"/>
        <v>-137.44111319666959</v>
      </c>
      <c r="AF419" s="51" t="e">
        <f t="shared" si="383"/>
        <v>#NUM!</v>
      </c>
      <c r="AG419" s="51" t="str">
        <f t="shared" si="365"/>
        <v>1-341.408547133433i</v>
      </c>
      <c r="AH419" s="51">
        <f t="shared" si="384"/>
        <v>341.41001165133042</v>
      </c>
      <c r="AI419" s="51">
        <f t="shared" si="385"/>
        <v>-1.5678672930942219</v>
      </c>
      <c r="AJ419" s="51" t="str">
        <f t="shared" si="366"/>
        <v>1+1.13802849044477i</v>
      </c>
      <c r="AK419" s="51">
        <f t="shared" si="386"/>
        <v>1.5149616645526056</v>
      </c>
      <c r="AL419" s="51">
        <f t="shared" si="387"/>
        <v>0.84986746733260532</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-0.000170731707317073</v>
      </c>
      <c r="AT419" s="32" t="str">
        <f t="shared" si="369"/>
        <v>0.0244322500773454i</v>
      </c>
      <c r="AU419" s="32">
        <f t="shared" si="393"/>
        <v>2.44322500773454E-2</v>
      </c>
      <c r="AV419" s="32">
        <f t="shared" si="394"/>
        <v>1.5707963267948966</v>
      </c>
      <c r="AW419" s="32" t="str">
        <f t="shared" si="370"/>
        <v>1+5.20183584749243i</v>
      </c>
      <c r="AX419" s="32">
        <f t="shared" si="395"/>
        <v>5.2970837433683542</v>
      </c>
      <c r="AY419" s="32">
        <f t="shared" si="396"/>
        <v>1.3808734890429384</v>
      </c>
      <c r="AZ419" s="32" t="str">
        <f t="shared" si="371"/>
        <v>1+98.8348811023563i</v>
      </c>
      <c r="BA419" s="32">
        <f t="shared" si="397"/>
        <v>98.839939915587308</v>
      </c>
      <c r="BB419" s="32">
        <f t="shared" si="398"/>
        <v>1.5606787866403034</v>
      </c>
      <c r="BC419" s="60" t="str">
        <f t="shared" si="399"/>
        <v>-0.0233187995291296+0.128288532266313i</v>
      </c>
      <c r="BD419" s="51">
        <f t="shared" si="400"/>
        <v>-17.69507295705538</v>
      </c>
      <c r="BE419" s="63">
        <f t="shared" si="401"/>
        <v>100.30208468642267</v>
      </c>
      <c r="BF419" s="60" t="str">
        <f t="shared" si="402"/>
        <v>0.0227891196106793-0.0172596908641234i</v>
      </c>
      <c r="BG419" s="66">
        <f t="shared" si="403"/>
        <v>-30.876499058816815</v>
      </c>
      <c r="BH419" s="63">
        <f t="shared" si="404"/>
        <v>-37.139028510246959</v>
      </c>
      <c r="BI419" s="60" t="e">
        <f t="shared" si="357"/>
        <v>#NUM!</v>
      </c>
      <c r="BJ419" s="66" t="e">
        <f t="shared" si="405"/>
        <v>#NUM!</v>
      </c>
      <c r="BK419" s="63" t="e">
        <f t="shared" si="358"/>
        <v>#NUM!</v>
      </c>
      <c r="BL419" s="51">
        <f t="shared" si="406"/>
        <v>-30.876499058816815</v>
      </c>
      <c r="BM419" s="63">
        <f t="shared" si="407"/>
        <v>-37.139028510246959</v>
      </c>
    </row>
    <row r="420" spans="14:65" x14ac:dyDescent="0.3">
      <c r="N420" s="11">
        <v>2</v>
      </c>
      <c r="O420" s="52">
        <f t="shared" ref="O420:O483" si="408">10^(5+(N420/100))</f>
        <v>104712.85480508996</v>
      </c>
      <c r="P420" s="50" t="str">
        <f t="shared" si="360"/>
        <v>23.3035714285714</v>
      </c>
      <c r="Q420" s="18" t="str">
        <f t="shared" si="361"/>
        <v>1+249.543552704568i</v>
      </c>
      <c r="R420" s="18">
        <f t="shared" si="372"/>
        <v>249.54555635478164</v>
      </c>
      <c r="S420" s="18">
        <f t="shared" si="373"/>
        <v>1.5667890317301607</v>
      </c>
      <c r="T420" s="18" t="str">
        <f t="shared" si="362"/>
        <v>1+1.16453657928798i</v>
      </c>
      <c r="U420" s="18">
        <f t="shared" si="374"/>
        <v>1.534974085937528</v>
      </c>
      <c r="V420" s="18">
        <f t="shared" si="375"/>
        <v>0.8612669497276102</v>
      </c>
      <c r="W420" s="32" t="str">
        <f t="shared" si="363"/>
        <v>1-1.6082739952502i</v>
      </c>
      <c r="X420" s="18">
        <f t="shared" si="376"/>
        <v>1.8938176374186719</v>
      </c>
      <c r="Y420" s="18">
        <f t="shared" si="377"/>
        <v>-1.0145125525806771</v>
      </c>
      <c r="Z420" s="32" t="str">
        <f t="shared" si="364"/>
        <v>0.956140872154272+0.789335394116539i</v>
      </c>
      <c r="AA420" s="18">
        <f t="shared" si="378"/>
        <v>1.2398611744098789</v>
      </c>
      <c r="AB420" s="18">
        <f t="shared" si="379"/>
        <v>0.69012304655049272</v>
      </c>
      <c r="AC420" s="68" t="str">
        <f t="shared" si="380"/>
        <v>-0.162943933856646-0.146243005675181i</v>
      </c>
      <c r="AD420" s="66">
        <f t="shared" si="381"/>
        <v>-13.193224236661914</v>
      </c>
      <c r="AE420" s="63">
        <f t="shared" si="382"/>
        <v>-138.09186308999924</v>
      </c>
      <c r="AF420" s="51" t="e">
        <f t="shared" si="383"/>
        <v>#NUM!</v>
      </c>
      <c r="AG420" s="51" t="str">
        <f t="shared" si="365"/>
        <v>1-349.360973786396i</v>
      </c>
      <c r="AH420" s="51">
        <f t="shared" si="384"/>
        <v>349.36240496793431</v>
      </c>
      <c r="AI420" s="51">
        <f t="shared" si="385"/>
        <v>-1.56793396567275</v>
      </c>
      <c r="AJ420" s="51" t="str">
        <f t="shared" si="366"/>
        <v>1+1.16453657928798i</v>
      </c>
      <c r="AK420" s="51">
        <f t="shared" si="386"/>
        <v>1.534974085937528</v>
      </c>
      <c r="AL420" s="51">
        <f t="shared" si="387"/>
        <v>0.8612669497276102</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-0.000170731707317073</v>
      </c>
      <c r="AT420" s="32" t="str">
        <f t="shared" si="369"/>
        <v>0.0250013502897985i</v>
      </c>
      <c r="AU420" s="32">
        <f t="shared" si="393"/>
        <v>2.50013502897985E-2</v>
      </c>
      <c r="AV420" s="32">
        <f t="shared" si="394"/>
        <v>1.5707963267948966</v>
      </c>
      <c r="AW420" s="32" t="str">
        <f t="shared" si="370"/>
        <v>1+5.32300216973382i</v>
      </c>
      <c r="AX420" s="32">
        <f t="shared" si="395"/>
        <v>5.4161196533118572</v>
      </c>
      <c r="AY420" s="32">
        <f t="shared" si="396"/>
        <v>1.385096849291281</v>
      </c>
      <c r="AZ420" s="32" t="str">
        <f t="shared" si="371"/>
        <v>1+101.137041224943i</v>
      </c>
      <c r="BA420" s="32">
        <f t="shared" si="397"/>
        <v>101.14198489122023</v>
      </c>
      <c r="BB420" s="32">
        <f t="shared" si="398"/>
        <v>1.5609090747875323</v>
      </c>
      <c r="BC420" s="60" t="str">
        <f t="shared" si="399"/>
        <v>-0.0223050584748306+0.125558774110515i</v>
      </c>
      <c r="BD420" s="51">
        <f t="shared" si="400"/>
        <v>-17.888121192129564</v>
      </c>
      <c r="BE420" s="63">
        <f t="shared" si="401"/>
        <v>100.07329850773753</v>
      </c>
      <c r="BF420" s="60" t="str">
        <f t="shared" si="402"/>
        <v>0.0219965664876042-0.0171970817906654i</v>
      </c>
      <c r="BG420" s="66">
        <f t="shared" si="403"/>
        <v>-31.081345428791494</v>
      </c>
      <c r="BH420" s="63">
        <f t="shared" si="404"/>
        <v>-38.01856458226171</v>
      </c>
      <c r="BI420" s="60" t="e">
        <f t="shared" si="357"/>
        <v>#NUM!</v>
      </c>
      <c r="BJ420" s="66" t="e">
        <f t="shared" si="405"/>
        <v>#NUM!</v>
      </c>
      <c r="BK420" s="63" t="e">
        <f t="shared" si="358"/>
        <v>#NUM!</v>
      </c>
      <c r="BL420" s="51">
        <f t="shared" si="406"/>
        <v>-31.081345428791494</v>
      </c>
      <c r="BM420" s="63">
        <f t="shared" si="407"/>
        <v>-38.01856458226171</v>
      </c>
    </row>
    <row r="421" spans="14:65" x14ac:dyDescent="0.3">
      <c r="N421" s="11">
        <v>3</v>
      </c>
      <c r="O421" s="52">
        <f t="shared" si="408"/>
        <v>107151.93052376082</v>
      </c>
      <c r="P421" s="50" t="str">
        <f t="shared" si="360"/>
        <v>23.3035714285714</v>
      </c>
      <c r="Q421" s="18" t="str">
        <f t="shared" si="361"/>
        <v>1+255.356168751428i</v>
      </c>
      <c r="R421" s="18">
        <f t="shared" si="372"/>
        <v>255.35812679334836</v>
      </c>
      <c r="S421" s="18">
        <f t="shared" si="373"/>
        <v>1.5668802479588413</v>
      </c>
      <c r="T421" s="18" t="str">
        <f t="shared" si="362"/>
        <v>1+1.19166212084i</v>
      </c>
      <c r="U421" s="18">
        <f t="shared" si="374"/>
        <v>1.5556537565425306</v>
      </c>
      <c r="V421" s="18">
        <f t="shared" si="375"/>
        <v>0.87262683036943645</v>
      </c>
      <c r="W421" s="32" t="str">
        <f t="shared" si="363"/>
        <v>1-1.6457355090069i</v>
      </c>
      <c r="X421" s="18">
        <f t="shared" si="376"/>
        <v>1.9257324231590951</v>
      </c>
      <c r="Y421" s="18">
        <f t="shared" si="377"/>
        <v>-1.0247846436375683</v>
      </c>
      <c r="Z421" s="32" t="str">
        <f t="shared" si="364"/>
        <v>0.954073855140124+0.807721377358623i</v>
      </c>
      <c r="AA421" s="18">
        <f t="shared" si="378"/>
        <v>1.250068295935886</v>
      </c>
      <c r="AB421" s="18">
        <f t="shared" si="379"/>
        <v>0.70251837111700632</v>
      </c>
      <c r="AC421" s="68" t="str">
        <f t="shared" si="380"/>
        <v>-0.164414372080284-0.14421310475595i</v>
      </c>
      <c r="AD421" s="66">
        <f t="shared" si="381"/>
        <v>-13.203041107358908</v>
      </c>
      <c r="AE421" s="63">
        <f t="shared" si="382"/>
        <v>-138.74496342606679</v>
      </c>
      <c r="AF421" s="51" t="e">
        <f t="shared" si="383"/>
        <v>#NUM!</v>
      </c>
      <c r="AG421" s="51" t="str">
        <f t="shared" si="365"/>
        <v>1-357.498636251999i</v>
      </c>
      <c r="AH421" s="51">
        <f t="shared" si="384"/>
        <v>357.50003485599706</v>
      </c>
      <c r="AI421" s="51">
        <f t="shared" si="385"/>
        <v>-1.5679991206226946</v>
      </c>
      <c r="AJ421" s="51" t="str">
        <f t="shared" si="366"/>
        <v>1+1.19166212084i</v>
      </c>
      <c r="AK421" s="51">
        <f t="shared" si="386"/>
        <v>1.5556537565425306</v>
      </c>
      <c r="AL421" s="51">
        <f t="shared" si="387"/>
        <v>0.87262683036943645</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-0.000170731707317073</v>
      </c>
      <c r="AT421" s="32" t="str">
        <f t="shared" si="369"/>
        <v>0.0255837065491072i</v>
      </c>
      <c r="AU421" s="32">
        <f t="shared" si="393"/>
        <v>2.5583706549107198E-2</v>
      </c>
      <c r="AV421" s="32">
        <f t="shared" si="394"/>
        <v>1.5707963267948966</v>
      </c>
      <c r="AW421" s="32" t="str">
        <f t="shared" si="370"/>
        <v>1+5.44699081818388i</v>
      </c>
      <c r="AX421" s="32">
        <f t="shared" si="395"/>
        <v>5.5380239231497992</v>
      </c>
      <c r="AY421" s="32">
        <f t="shared" si="396"/>
        <v>1.3892305600489019</v>
      </c>
      <c r="AZ421" s="32" t="str">
        <f t="shared" si="371"/>
        <v>1+103.492825545494i</v>
      </c>
      <c r="BA421" s="32">
        <f t="shared" si="397"/>
        <v>103.49765668550208</v>
      </c>
      <c r="BB421" s="32">
        <f t="shared" si="398"/>
        <v>1.5611341219499248</v>
      </c>
      <c r="BC421" s="60" t="str">
        <f t="shared" si="399"/>
        <v>-0.0213338978683229+0.122879000528417i</v>
      </c>
      <c r="BD421" s="51">
        <f t="shared" si="400"/>
        <v>-18.081471844337912</v>
      </c>
      <c r="BE421" s="63">
        <f t="shared" si="401"/>
        <v>99.849348580194516</v>
      </c>
      <c r="BF421" s="60" t="str">
        <f t="shared" si="402"/>
        <v>0.0212283615975563-0.0171264460655954i</v>
      </c>
      <c r="BG421" s="66">
        <f t="shared" si="403"/>
        <v>-31.284512951696804</v>
      </c>
      <c r="BH421" s="63">
        <f t="shared" si="404"/>
        <v>-38.895614845872267</v>
      </c>
      <c r="BI421" s="60" t="e">
        <f t="shared" si="357"/>
        <v>#NUM!</v>
      </c>
      <c r="BJ421" s="66" t="e">
        <f t="shared" si="405"/>
        <v>#NUM!</v>
      </c>
      <c r="BK421" s="63" t="e">
        <f t="shared" si="358"/>
        <v>#NUM!</v>
      </c>
      <c r="BL421" s="51">
        <f t="shared" si="406"/>
        <v>-31.284512951696804</v>
      </c>
      <c r="BM421" s="63">
        <f t="shared" si="407"/>
        <v>-38.895614845872267</v>
      </c>
    </row>
    <row r="422" spans="14:65" x14ac:dyDescent="0.3">
      <c r="N422" s="11">
        <v>4</v>
      </c>
      <c r="O422" s="52">
        <f t="shared" si="408"/>
        <v>109647.81961431868</v>
      </c>
      <c r="P422" s="50" t="str">
        <f t="shared" si="360"/>
        <v>23.3035714285714</v>
      </c>
      <c r="Q422" s="18" t="str">
        <f t="shared" si="361"/>
        <v>1+261.304178018997i</v>
      </c>
      <c r="R422" s="18">
        <f t="shared" si="372"/>
        <v>261.30609149077191</v>
      </c>
      <c r="S422" s="18">
        <f t="shared" si="373"/>
        <v>1.5669693879156332</v>
      </c>
      <c r="T422" s="18" t="str">
        <f t="shared" si="362"/>
        <v>1+1.21941949742199i</v>
      </c>
      <c r="U422" s="18">
        <f t="shared" si="374"/>
        <v>1.577017409762143</v>
      </c>
      <c r="V422" s="18">
        <f t="shared" si="375"/>
        <v>0.88394140559012213</v>
      </c>
      <c r="W422" s="32" t="str">
        <f t="shared" si="363"/>
        <v>1-1.68406961351436i</v>
      </c>
      <c r="X422" s="18">
        <f t="shared" si="376"/>
        <v>1.9585940016150374</v>
      </c>
      <c r="Y422" s="18">
        <f t="shared" si="377"/>
        <v>-1.0349483576660319</v>
      </c>
      <c r="Z422" s="32" t="str">
        <f t="shared" si="364"/>
        <v>0.951909422615303+0.826535625166437i</v>
      </c>
      <c r="AA422" s="18">
        <f t="shared" si="378"/>
        <v>1.2606715228532264</v>
      </c>
      <c r="AB422" s="18">
        <f t="shared" si="379"/>
        <v>0.71501829786634652</v>
      </c>
      <c r="AC422" s="68" t="str">
        <f t="shared" si="380"/>
        <v>-0.165901766841071-0.142193382758507i</v>
      </c>
      <c r="AD422" s="66">
        <f t="shared" si="381"/>
        <v>-13.210961682320262</v>
      </c>
      <c r="AE422" s="63">
        <f t="shared" si="382"/>
        <v>-139.40032432721705</v>
      </c>
      <c r="AF422" s="51" t="e">
        <f t="shared" si="383"/>
        <v>#NUM!</v>
      </c>
      <c r="AG422" s="51" t="str">
        <f t="shared" si="365"/>
        <v>1-365.825849226597i</v>
      </c>
      <c r="AH422" s="51">
        <f t="shared" si="384"/>
        <v>365.82721599460154</v>
      </c>
      <c r="AI422" s="51">
        <f t="shared" si="385"/>
        <v>-1.5680627924878587</v>
      </c>
      <c r="AJ422" s="51" t="str">
        <f t="shared" si="366"/>
        <v>1+1.21941949742199i</v>
      </c>
      <c r="AK422" s="51">
        <f t="shared" si="386"/>
        <v>1.577017409762143</v>
      </c>
      <c r="AL422" s="51">
        <f t="shared" si="387"/>
        <v>0.88394140559012213</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-0.000170731707317073</v>
      </c>
      <c r="AT422" s="32" t="str">
        <f t="shared" si="369"/>
        <v>0.0261796276282687i</v>
      </c>
      <c r="AU422" s="32">
        <f t="shared" si="393"/>
        <v>2.6179627628268701E-2</v>
      </c>
      <c r="AV422" s="32">
        <f t="shared" si="394"/>
        <v>1.5707963267948966</v>
      </c>
      <c r="AW422" s="32" t="str">
        <f t="shared" si="370"/>
        <v>1+5.57386753326517i</v>
      </c>
      <c r="AX422" s="32">
        <f t="shared" si="395"/>
        <v>5.6628614037770291</v>
      </c>
      <c r="AY422" s="32">
        <f t="shared" si="396"/>
        <v>1.3932762477072422</v>
      </c>
      <c r="AZ422" s="32" t="str">
        <f t="shared" si="371"/>
        <v>1+105.903483132038i</v>
      </c>
      <c r="BA422" s="32">
        <f t="shared" si="397"/>
        <v>105.90820430683289</v>
      </c>
      <c r="BB422" s="32">
        <f t="shared" si="398"/>
        <v>1.5613540473592307</v>
      </c>
      <c r="BC422" s="60" t="str">
        <f t="shared" si="399"/>
        <v>-0.020403656405538+0.120248826346981i</v>
      </c>
      <c r="BD422" s="51">
        <f t="shared" si="400"/>
        <v>-18.275112194000112</v>
      </c>
      <c r="BE422" s="63">
        <f t="shared" si="401"/>
        <v>99.630148549904376</v>
      </c>
      <c r="BF422" s="60" t="str">
        <f t="shared" si="402"/>
        <v>0.0204835900387144-0.0170482278265836i</v>
      </c>
      <c r="BG422" s="66">
        <f t="shared" si="403"/>
        <v>-31.486073876320361</v>
      </c>
      <c r="BH422" s="63">
        <f t="shared" si="404"/>
        <v>-39.770175777312751</v>
      </c>
      <c r="BI422" s="60" t="e">
        <f t="shared" si="357"/>
        <v>#NUM!</v>
      </c>
      <c r="BJ422" s="66" t="e">
        <f t="shared" si="405"/>
        <v>#NUM!</v>
      </c>
      <c r="BK422" s="63" t="e">
        <f t="shared" si="358"/>
        <v>#NUM!</v>
      </c>
      <c r="BL422" s="51">
        <f t="shared" si="406"/>
        <v>-31.486073876320361</v>
      </c>
      <c r="BM422" s="63">
        <f t="shared" si="407"/>
        <v>-39.770175777312751</v>
      </c>
    </row>
    <row r="423" spans="14:65" x14ac:dyDescent="0.3">
      <c r="N423" s="11">
        <v>5</v>
      </c>
      <c r="O423" s="52">
        <f t="shared" si="408"/>
        <v>112201.84543019651</v>
      </c>
      <c r="P423" s="50" t="str">
        <f t="shared" si="360"/>
        <v>23.3035714285714</v>
      </c>
      <c r="Q423" s="18" t="str">
        <f t="shared" si="361"/>
        <v>1+267.390734220523i</v>
      </c>
      <c r="R423" s="18">
        <f t="shared" si="372"/>
        <v>267.39260413667085</v>
      </c>
      <c r="S423" s="18">
        <f t="shared" si="373"/>
        <v>1.567056498858052</v>
      </c>
      <c r="T423" s="18" t="str">
        <f t="shared" si="362"/>
        <v>1+1.24782342636244i</v>
      </c>
      <c r="U423" s="18">
        <f t="shared" si="374"/>
        <v>1.5990820189655373</v>
      </c>
      <c r="V423" s="18">
        <f t="shared" si="375"/>
        <v>0.89520508738849813</v>
      </c>
      <c r="W423" s="32" t="str">
        <f t="shared" si="363"/>
        <v>1-1.7232966340222i</v>
      </c>
      <c r="X423" s="18">
        <f t="shared" si="376"/>
        <v>1.9924234712611284</v>
      </c>
      <c r="Y423" s="18">
        <f t="shared" si="377"/>
        <v>-1.0450006837347965</v>
      </c>
      <c r="Z423" s="32" t="str">
        <f t="shared" si="364"/>
        <v>0.949642983528233+0.845788113103208i</v>
      </c>
      <c r="AA423" s="18">
        <f t="shared" si="378"/>
        <v>1.2716836589463154</v>
      </c>
      <c r="AB423" s="18">
        <f t="shared" si="379"/>
        <v>0.72761857364575688</v>
      </c>
      <c r="AC423" s="68" t="str">
        <f t="shared" si="380"/>
        <v>-0.167404812465031-0.140181515849762i</v>
      </c>
      <c r="AD423" s="66">
        <f t="shared" si="381"/>
        <v>-13.217072156557579</v>
      </c>
      <c r="AE423" s="63">
        <f t="shared" si="382"/>
        <v>-140.05785246863263</v>
      </c>
      <c r="AF423" s="51" t="e">
        <f t="shared" si="383"/>
        <v>#NUM!</v>
      </c>
      <c r="AG423" s="51" t="str">
        <f t="shared" si="365"/>
        <v>1-374.347027908733i</v>
      </c>
      <c r="AH423" s="51">
        <f t="shared" si="384"/>
        <v>374.34836356541183</v>
      </c>
      <c r="AI423" s="51">
        <f t="shared" si="385"/>
        <v>-1.5681250150258417</v>
      </c>
      <c r="AJ423" s="51" t="str">
        <f t="shared" si="366"/>
        <v>1+1.24782342636244i</v>
      </c>
      <c r="AK423" s="51">
        <f t="shared" si="386"/>
        <v>1.5990820189655373</v>
      </c>
      <c r="AL423" s="51">
        <f t="shared" si="387"/>
        <v>0.89520508738849813</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-0.000170731707317073</v>
      </c>
      <c r="AT423" s="32" t="str">
        <f t="shared" si="369"/>
        <v>0.0267894294925269i</v>
      </c>
      <c r="AU423" s="32">
        <f t="shared" si="393"/>
        <v>2.6789429492526901E-2</v>
      </c>
      <c r="AV423" s="32">
        <f t="shared" si="394"/>
        <v>1.5707963267948966</v>
      </c>
      <c r="AW423" s="32" t="str">
        <f t="shared" si="370"/>
        <v>1+5.70369958669146i</v>
      </c>
      <c r="AX423" s="32">
        <f t="shared" si="395"/>
        <v>5.7906984876804222</v>
      </c>
      <c r="AY423" s="32">
        <f t="shared" si="396"/>
        <v>1.3972355273372896</v>
      </c>
      <c r="AZ423" s="32" t="str">
        <f t="shared" si="371"/>
        <v>1+108.370292147138i</v>
      </c>
      <c r="BA423" s="32">
        <f t="shared" si="397"/>
        <v>108.37490585950255</v>
      </c>
      <c r="BB423" s="32">
        <f t="shared" si="398"/>
        <v>1.5615689675376667</v>
      </c>
      <c r="BC423" s="60" t="str">
        <f t="shared" si="399"/>
        <v>-0.0195127266929309+0.117667830957871i</v>
      </c>
      <c r="BD423" s="51">
        <f t="shared" si="400"/>
        <v>-18.469030019162094</v>
      </c>
      <c r="BE423" s="63">
        <f t="shared" si="401"/>
        <v>99.415612556347114</v>
      </c>
      <c r="BF423" s="60" t="str">
        <f t="shared" si="402"/>
        <v>0.0197613792631394-0.0169628375684922i</v>
      </c>
      <c r="BG423" s="66">
        <f t="shared" si="403"/>
        <v>-31.686102175719675</v>
      </c>
      <c r="BH423" s="63">
        <f t="shared" si="404"/>
        <v>-40.64223991228554</v>
      </c>
      <c r="BI423" s="60" t="e">
        <f t="shared" si="357"/>
        <v>#NUM!</v>
      </c>
      <c r="BJ423" s="66" t="e">
        <f t="shared" si="405"/>
        <v>#NUM!</v>
      </c>
      <c r="BK423" s="63" t="e">
        <f t="shared" si="358"/>
        <v>#NUM!</v>
      </c>
      <c r="BL423" s="51">
        <f t="shared" si="406"/>
        <v>-31.686102175719675</v>
      </c>
      <c r="BM423" s="63">
        <f t="shared" si="407"/>
        <v>-40.64223991228554</v>
      </c>
    </row>
    <row r="424" spans="14:65" x14ac:dyDescent="0.3">
      <c r="N424" s="11">
        <v>6</v>
      </c>
      <c r="O424" s="52">
        <f t="shared" si="408"/>
        <v>114815.36214968823</v>
      </c>
      <c r="P424" s="50" t="str">
        <f t="shared" si="360"/>
        <v>23.3035714285714</v>
      </c>
      <c r="Q424" s="18" t="str">
        <f t="shared" si="361"/>
        <v>1+273.619064528666i</v>
      </c>
      <c r="R424" s="18">
        <f t="shared" si="372"/>
        <v>273.62089188061333</v>
      </c>
      <c r="S424" s="18">
        <f t="shared" si="373"/>
        <v>1.5671416269681806</v>
      </c>
      <c r="T424" s="18" t="str">
        <f t="shared" si="362"/>
        <v>1+1.27688896780044i</v>
      </c>
      <c r="U424" s="18">
        <f t="shared" si="374"/>
        <v>1.6218648020382196</v>
      </c>
      <c r="V424" s="18">
        <f t="shared" si="375"/>
        <v>0.9064124163693964</v>
      </c>
      <c r="W424" s="32" t="str">
        <f t="shared" si="363"/>
        <v>1-1.76343736921593i</v>
      </c>
      <c r="X424" s="18">
        <f t="shared" si="376"/>
        <v>2.0272423030183639</v>
      </c>
      <c r="Y424" s="18">
        <f t="shared" si="377"/>
        <v>-1.0549388249180287</v>
      </c>
      <c r="Z424" s="32" t="str">
        <f t="shared" si="364"/>
        <v>0.947269730457744+0.865489049092872i</v>
      </c>
      <c r="AA424" s="18">
        <f t="shared" si="378"/>
        <v>1.2831177796060544</v>
      </c>
      <c r="AB424" s="18">
        <f t="shared" si="379"/>
        <v>0.74031479759226937</v>
      </c>
      <c r="AC424" s="68" t="str">
        <f t="shared" si="380"/>
        <v>-0.16892212716368-0.138175263472033i</v>
      </c>
      <c r="AD424" s="66">
        <f t="shared" si="381"/>
        <v>-13.221459667826434</v>
      </c>
      <c r="AE424" s="63">
        <f t="shared" si="382"/>
        <v>-140.71745089373326</v>
      </c>
      <c r="AF424" s="51" t="e">
        <f t="shared" si="383"/>
        <v>#NUM!</v>
      </c>
      <c r="AG424" s="51" t="str">
        <f t="shared" si="365"/>
        <v>1-383.066690340133i</v>
      </c>
      <c r="AH424" s="51">
        <f t="shared" si="384"/>
        <v>383.06799559365874</v>
      </c>
      <c r="AI424" s="51">
        <f t="shared" si="385"/>
        <v>-1.5681858212259283</v>
      </c>
      <c r="AJ424" s="51" t="str">
        <f t="shared" si="366"/>
        <v>1+1.27688896780044i</v>
      </c>
      <c r="AK424" s="51">
        <f t="shared" si="386"/>
        <v>1.6218648020382196</v>
      </c>
      <c r="AL424" s="51">
        <f t="shared" si="387"/>
        <v>0.9064124163693964</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-0.000170731707317073</v>
      </c>
      <c r="AT424" s="32" t="str">
        <f t="shared" si="369"/>
        <v>0.0274134354669021i</v>
      </c>
      <c r="AU424" s="32">
        <f t="shared" si="393"/>
        <v>2.74134354669021E-2</v>
      </c>
      <c r="AV424" s="32">
        <f t="shared" si="394"/>
        <v>1.5707963267948966</v>
      </c>
      <c r="AW424" s="32" t="str">
        <f t="shared" si="370"/>
        <v>1+5.83655581713599i</v>
      </c>
      <c r="AX424" s="32">
        <f t="shared" si="395"/>
        <v>5.921603144972142</v>
      </c>
      <c r="AY424" s="32">
        <f t="shared" si="396"/>
        <v>1.4011100014331883</v>
      </c>
      <c r="AZ424" s="32" t="str">
        <f t="shared" si="371"/>
        <v>1+110.894560525584i</v>
      </c>
      <c r="BA424" s="32">
        <f t="shared" si="397"/>
        <v>110.89906922135286</v>
      </c>
      <c r="BB424" s="32">
        <f t="shared" si="398"/>
        <v>1.5617789963592921</v>
      </c>
      <c r="BC424" s="60" t="str">
        <f t="shared" si="399"/>
        <v>-0.0186595544625737+0.115135561465665i</v>
      </c>
      <c r="BD424" s="51">
        <f t="shared" si="400"/>
        <v>-18.663213579317553</v>
      </c>
      <c r="BE424" s="63">
        <f t="shared" si="401"/>
        <v>99.205655307874537</v>
      </c>
      <c r="BF424" s="60" t="str">
        <f t="shared" si="402"/>
        <v>0.0190608981722632-0.0168706551008279i</v>
      </c>
      <c r="BG424" s="66">
        <f t="shared" si="403"/>
        <v>-31.884673247143983</v>
      </c>
      <c r="BH424" s="63">
        <f t="shared" si="404"/>
        <v>-41.511795585858742</v>
      </c>
      <c r="BI424" s="60" t="e">
        <f t="shared" si="357"/>
        <v>#NUM!</v>
      </c>
      <c r="BJ424" s="66" t="e">
        <f t="shared" si="405"/>
        <v>#NUM!</v>
      </c>
      <c r="BK424" s="63" t="e">
        <f t="shared" si="358"/>
        <v>#NUM!</v>
      </c>
      <c r="BL424" s="51">
        <f t="shared" si="406"/>
        <v>-31.884673247143983</v>
      </c>
      <c r="BM424" s="63">
        <f t="shared" si="407"/>
        <v>-41.511795585858742</v>
      </c>
    </row>
    <row r="425" spans="14:65" x14ac:dyDescent="0.3">
      <c r="N425" s="11">
        <v>7</v>
      </c>
      <c r="O425" s="52">
        <f t="shared" si="408"/>
        <v>117489.75549395311</v>
      </c>
      <c r="P425" s="50" t="str">
        <f t="shared" si="360"/>
        <v>23.3035714285714</v>
      </c>
      <c r="Q425" s="18" t="str">
        <f t="shared" si="361"/>
        <v>1+279.9924712866i</v>
      </c>
      <c r="R425" s="18">
        <f t="shared" si="372"/>
        <v>279.99425704320709</v>
      </c>
      <c r="S425" s="18">
        <f t="shared" si="373"/>
        <v>1.5672248173771322</v>
      </c>
      <c r="T425" s="18" t="str">
        <f t="shared" si="362"/>
        <v>1+1.3066315326708i</v>
      </c>
      <c r="U425" s="18">
        <f t="shared" si="374"/>
        <v>1.645383226537102</v>
      </c>
      <c r="V425" s="18">
        <f t="shared" si="375"/>
        <v>0.91755807390838784</v>
      </c>
      <c r="W425" s="32" t="str">
        <f t="shared" si="363"/>
        <v>1-1.80451310224467i</v>
      </c>
      <c r="X425" s="18">
        <f t="shared" si="376"/>
        <v>2.0630723535961319</v>
      </c>
      <c r="Y425" s="18">
        <f t="shared" si="377"/>
        <v>-1.0647601974623941</v>
      </c>
      <c r="Z425" s="32" t="str">
        <f t="shared" si="364"/>
        <v>0.944784629415884+0.885648878832471i</v>
      </c>
      <c r="AA425" s="18">
        <f t="shared" si="378"/>
        <v>1.2949872325848322</v>
      </c>
      <c r="AB425" s="18">
        <f t="shared" si="379"/>
        <v>0.75310243177077374</v>
      </c>
      <c r="AC425" s="68" t="str">
        <f t="shared" si="380"/>
        <v>-0.17045225672126-0.13617247338791i</v>
      </c>
      <c r="AD425" s="66">
        <f t="shared" si="381"/>
        <v>-13.224212013322932</v>
      </c>
      <c r="AE425" s="63">
        <f t="shared" si="382"/>
        <v>-141.37901888038306</v>
      </c>
      <c r="AF425" s="51" t="e">
        <f t="shared" si="383"/>
        <v>#NUM!</v>
      </c>
      <c r="AG425" s="51" t="str">
        <f t="shared" si="365"/>
        <v>1-391.989459801241i</v>
      </c>
      <c r="AH425" s="51">
        <f t="shared" si="384"/>
        <v>391.99073534366693</v>
      </c>
      <c r="AI425" s="51">
        <f t="shared" si="385"/>
        <v>-1.5682452433265712</v>
      </c>
      <c r="AJ425" s="51" t="str">
        <f t="shared" si="366"/>
        <v>1+1.3066315326708i</v>
      </c>
      <c r="AK425" s="51">
        <f t="shared" si="386"/>
        <v>1.645383226537102</v>
      </c>
      <c r="AL425" s="51">
        <f t="shared" si="387"/>
        <v>0.91755807390838784</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-0.000170731707317073</v>
      </c>
      <c r="AT425" s="32" t="str">
        <f t="shared" si="369"/>
        <v>0.0280519764076217i</v>
      </c>
      <c r="AU425" s="32">
        <f t="shared" si="393"/>
        <v>2.80519764076217E-2</v>
      </c>
      <c r="AV425" s="32">
        <f t="shared" si="394"/>
        <v>1.5707963267948966</v>
      </c>
      <c r="AW425" s="32" t="str">
        <f t="shared" si="370"/>
        <v>1+5.97250666673074i</v>
      </c>
      <c r="AX425" s="32">
        <f t="shared" si="395"/>
        <v>6.0556449602121765</v>
      </c>
      <c r="AY425" s="32">
        <f t="shared" si="396"/>
        <v>1.4049012587651524</v>
      </c>
      <c r="AZ425" s="32" t="str">
        <f t="shared" si="371"/>
        <v>1+113.477626667884i</v>
      </c>
      <c r="BA425" s="32">
        <f t="shared" si="397"/>
        <v>113.48203273723846</v>
      </c>
      <c r="BB425" s="32">
        <f t="shared" si="398"/>
        <v>1.561984245110007</v>
      </c>
      <c r="BC425" s="60" t="str">
        <f t="shared" si="399"/>
        <v>-0.0178426377014272+0.1126515356677i</v>
      </c>
      <c r="BD425" s="51">
        <f t="shared" si="400"/>
        <v>-18.857651599377952</v>
      </c>
      <c r="BE425" s="63">
        <f t="shared" si="401"/>
        <v>99.0001921508713</v>
      </c>
      <c r="BF425" s="60" t="str">
        <f t="shared" si="402"/>
        <v>0.0183813561048852-0.0167720323701073i</v>
      </c>
      <c r="BG425" s="66">
        <f t="shared" si="403"/>
        <v>-32.081863612700865</v>
      </c>
      <c r="BH425" s="63">
        <f t="shared" si="404"/>
        <v>-42.378826729511779</v>
      </c>
      <c r="BI425" s="60" t="e">
        <f t="shared" si="357"/>
        <v>#NUM!</v>
      </c>
      <c r="BJ425" s="66" t="e">
        <f t="shared" si="405"/>
        <v>#NUM!</v>
      </c>
      <c r="BK425" s="63" t="e">
        <f t="shared" si="358"/>
        <v>#NUM!</v>
      </c>
      <c r="BL425" s="51">
        <f t="shared" si="406"/>
        <v>-32.081863612700865</v>
      </c>
      <c r="BM425" s="63">
        <f t="shared" si="407"/>
        <v>-42.378826729511779</v>
      </c>
    </row>
    <row r="426" spans="14:65" x14ac:dyDescent="0.3">
      <c r="N426" s="11">
        <v>8</v>
      </c>
      <c r="O426" s="52">
        <f t="shared" si="408"/>
        <v>120226.44346174144</v>
      </c>
      <c r="P426" s="50" t="str">
        <f t="shared" si="360"/>
        <v>23.3035714285714</v>
      </c>
      <c r="Q426" s="18" t="str">
        <f t="shared" si="361"/>
        <v>1+286.514333758948i</v>
      </c>
      <c r="R426" s="18">
        <f t="shared" si="372"/>
        <v>286.51607886702249</v>
      </c>
      <c r="S426" s="18">
        <f t="shared" si="373"/>
        <v>1.5673061141889542</v>
      </c>
      <c r="T426" s="18" t="str">
        <f t="shared" si="362"/>
        <v>1+1.33706689087509i</v>
      </c>
      <c r="U426" s="18">
        <f t="shared" si="374"/>
        <v>1.6696550154670815</v>
      </c>
      <c r="V426" s="18">
        <f t="shared" si="375"/>
        <v>0.92863689348330003</v>
      </c>
      <c r="W426" s="32" t="str">
        <f t="shared" si="363"/>
        <v>1-1.84654561200577i</v>
      </c>
      <c r="X426" s="18">
        <f t="shared" si="376"/>
        <v>2.0999358793110239</v>
      </c>
      <c r="Y426" s="18">
        <f t="shared" si="377"/>
        <v>-1.0744624291858174</v>
      </c>
      <c r="Z426" s="32" t="str">
        <f t="shared" si="364"/>
        <v>0.942182409170163+0.906278291330574i</v>
      </c>
      <c r="AA426" s="18">
        <f t="shared" si="378"/>
        <v>1.3073056388950357</v>
      </c>
      <c r="AB426" s="18">
        <f t="shared" si="379"/>
        <v>0.76597681269996332</v>
      </c>
      <c r="AC426" s="68" t="str">
        <f t="shared" si="380"/>
        <v>-0.171993678697235-0.134171086468227i</v>
      </c>
      <c r="AD426" s="66">
        <f t="shared" si="381"/>
        <v>-13.225417368782288</v>
      </c>
      <c r="AE426" s="63">
        <f t="shared" si="382"/>
        <v>-142.04245186165545</v>
      </c>
      <c r="AF426" s="51" t="e">
        <f t="shared" si="383"/>
        <v>#NUM!</v>
      </c>
      <c r="AG426" s="51" t="str">
        <f t="shared" si="365"/>
        <v>1-401.120067262528i</v>
      </c>
      <c r="AH426" s="51">
        <f t="shared" si="384"/>
        <v>401.12131377015481</v>
      </c>
      <c r="AI426" s="51">
        <f t="shared" si="385"/>
        <v>-1.568303312832475</v>
      </c>
      <c r="AJ426" s="51" t="str">
        <f t="shared" si="366"/>
        <v>1+1.33706689087509i</v>
      </c>
      <c r="AK426" s="51">
        <f t="shared" si="386"/>
        <v>1.6696550154670815</v>
      </c>
      <c r="AL426" s="51">
        <f t="shared" si="387"/>
        <v>0.92863689348330003</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-0.000170731707317073</v>
      </c>
      <c r="AT426" s="32" t="str">
        <f t="shared" si="369"/>
        <v>0.0287053908775443i</v>
      </c>
      <c r="AU426" s="32">
        <f t="shared" si="393"/>
        <v>2.8705390877544298E-2</v>
      </c>
      <c r="AV426" s="32">
        <f t="shared" si="394"/>
        <v>1.5707963267948966</v>
      </c>
      <c r="AW426" s="32" t="str">
        <f t="shared" si="370"/>
        <v>1+6.11162421841566i</v>
      </c>
      <c r="AX426" s="32">
        <f t="shared" si="395"/>
        <v>6.192895170041619</v>
      </c>
      <c r="AY426" s="32">
        <f t="shared" si="396"/>
        <v>1.4086108733357976</v>
      </c>
      <c r="AZ426" s="32" t="str">
        <f t="shared" si="371"/>
        <v>1+116.120860149898i</v>
      </c>
      <c r="BA426" s="32">
        <f t="shared" si="397"/>
        <v>116.12516592863136</v>
      </c>
      <c r="BB426" s="32">
        <f t="shared" si="398"/>
        <v>1.5621848225462043</v>
      </c>
      <c r="BC426" s="60" t="str">
        <f t="shared" si="399"/>
        <v>-0.0170605257065835+0.110215244870251i</v>
      </c>
      <c r="BD426" s="51">
        <f t="shared" si="400"/>
        <v>-19.052333253917581</v>
      </c>
      <c r="BE426" s="63">
        <f t="shared" si="401"/>
        <v>98.799139132912771</v>
      </c>
      <c r="BF426" s="60" t="str">
        <f t="shared" si="402"/>
        <v>0.0177220017263873-0.0166672961439796i</v>
      </c>
      <c r="BG426" s="66">
        <f t="shared" si="403"/>
        <v>-32.27775062269987</v>
      </c>
      <c r="BH426" s="63">
        <f t="shared" si="404"/>
        <v>-43.24331272874268</v>
      </c>
      <c r="BI426" s="60" t="e">
        <f t="shared" si="357"/>
        <v>#NUM!</v>
      </c>
      <c r="BJ426" s="66" t="e">
        <f t="shared" si="405"/>
        <v>#NUM!</v>
      </c>
      <c r="BK426" s="63" t="e">
        <f t="shared" si="358"/>
        <v>#NUM!</v>
      </c>
      <c r="BL426" s="51">
        <f t="shared" si="406"/>
        <v>-32.27775062269987</v>
      </c>
      <c r="BM426" s="63">
        <f t="shared" si="407"/>
        <v>-43.24331272874268</v>
      </c>
    </row>
    <row r="427" spans="14:65" x14ac:dyDescent="0.3">
      <c r="N427" s="11">
        <v>9</v>
      </c>
      <c r="O427" s="52">
        <f t="shared" si="408"/>
        <v>123026.87708123829</v>
      </c>
      <c r="P427" s="50" t="str">
        <f t="shared" si="360"/>
        <v>23.3035714285714</v>
      </c>
      <c r="Q427" s="18" t="str">
        <f t="shared" si="361"/>
        <v>1+293.18810992352i</v>
      </c>
      <c r="R427" s="18">
        <f t="shared" si="372"/>
        <v>293.18981530831877</v>
      </c>
      <c r="S427" s="18">
        <f t="shared" si="373"/>
        <v>1.5673855605039912</v>
      </c>
      <c r="T427" s="18" t="str">
        <f t="shared" si="362"/>
        <v>1+1.3682111796431i</v>
      </c>
      <c r="U427" s="18">
        <f t="shared" si="374"/>
        <v>1.6946981536841195</v>
      </c>
      <c r="V427" s="18">
        <f t="shared" si="375"/>
        <v>0.93964387112277981</v>
      </c>
      <c r="W427" s="32" t="str">
        <f t="shared" si="363"/>
        <v>1-1.88955718469228i</v>
      </c>
      <c r="X427" s="18">
        <f t="shared" si="376"/>
        <v>2.1378555503640126</v>
      </c>
      <c r="Y427" s="18">
        <f t="shared" si="377"/>
        <v>-1.0840433571579247</v>
      </c>
      <c r="Z427" s="32" t="str">
        <f t="shared" si="364"/>
        <v>0.939457550062551+0.927388224574752i</v>
      </c>
      <c r="AA427" s="18">
        <f t="shared" si="378"/>
        <v>1.320086893901095</v>
      </c>
      <c r="AB427" s="18">
        <f t="shared" si="379"/>
        <v>0.77893316371693422</v>
      </c>
      <c r="AC427" s="68" t="str">
        <f t="shared" si="380"/>
        <v>-0.173544807121313-0.132169141167061i</v>
      </c>
      <c r="AD427" s="66">
        <f t="shared" si="381"/>
        <v>-13.225164011844432</v>
      </c>
      <c r="AE427" s="63">
        <f t="shared" si="382"/>
        <v>-142.70764140405072</v>
      </c>
      <c r="AF427" s="51" t="e">
        <f t="shared" si="383"/>
        <v>#NUM!</v>
      </c>
      <c r="AG427" s="51" t="str">
        <f t="shared" si="365"/>
        <v>1-410.463353892929i</v>
      </c>
      <c r="AH427" s="51">
        <f t="shared" si="384"/>
        <v>410.46457202666329</v>
      </c>
      <c r="AI427" s="51">
        <f t="shared" si="385"/>
        <v>-1.5683600605312933</v>
      </c>
      <c r="AJ427" s="51" t="str">
        <f t="shared" si="366"/>
        <v>1+1.3682111796431i</v>
      </c>
      <c r="AK427" s="51">
        <f t="shared" si="386"/>
        <v>1.6946981536841195</v>
      </c>
      <c r="AL427" s="51">
        <f t="shared" si="387"/>
        <v>0.93964387112277981</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-0.000170731707317073</v>
      </c>
      <c r="AT427" s="32" t="str">
        <f t="shared" si="369"/>
        <v>0.029374025325671i</v>
      </c>
      <c r="AU427" s="32">
        <f t="shared" si="393"/>
        <v>2.9374025325670999E-2</v>
      </c>
      <c r="AV427" s="32">
        <f t="shared" si="394"/>
        <v>1.5707963267948966</v>
      </c>
      <c r="AW427" s="32" t="str">
        <f t="shared" si="370"/>
        <v>1+6.25398223415808i</v>
      </c>
      <c r="AX427" s="32">
        <f t="shared" si="395"/>
        <v>6.3334267016493442</v>
      </c>
      <c r="AY427" s="32">
        <f t="shared" si="396"/>
        <v>1.4122404034341944</v>
      </c>
      <c r="AZ427" s="32" t="str">
        <f t="shared" si="371"/>
        <v>1+118.825662449004i</v>
      </c>
      <c r="BA427" s="32">
        <f t="shared" si="397"/>
        <v>118.82987021975848</v>
      </c>
      <c r="BB427" s="32">
        <f t="shared" si="398"/>
        <v>1.5623808349521022</v>
      </c>
      <c r="BC427" s="60" t="str">
        <f t="shared" si="399"/>
        <v>-0.0163118180773609+0.107826156546101i</v>
      </c>
      <c r="BD427" s="51">
        <f t="shared" si="400"/>
        <v>-19.247248151713514</v>
      </c>
      <c r="BE427" s="63">
        <f t="shared" si="401"/>
        <v>98.602413060249049</v>
      </c>
      <c r="BF427" s="60" t="str">
        <f t="shared" si="402"/>
        <v>0.0170821218280768-0.0165567505542675i</v>
      </c>
      <c r="BG427" s="66">
        <f t="shared" si="403"/>
        <v>-32.472412163557934</v>
      </c>
      <c r="BH427" s="63">
        <f t="shared" si="404"/>
        <v>-44.10522834380167</v>
      </c>
      <c r="BI427" s="60" t="e">
        <f t="shared" si="357"/>
        <v>#NUM!</v>
      </c>
      <c r="BJ427" s="66" t="e">
        <f t="shared" si="405"/>
        <v>#NUM!</v>
      </c>
      <c r="BK427" s="63" t="e">
        <f t="shared" si="358"/>
        <v>#NUM!</v>
      </c>
      <c r="BL427" s="51">
        <f t="shared" si="406"/>
        <v>-32.472412163557934</v>
      </c>
      <c r="BM427" s="63">
        <f t="shared" si="407"/>
        <v>-44.10522834380167</v>
      </c>
    </row>
    <row r="428" spans="14:65" x14ac:dyDescent="0.3">
      <c r="N428" s="11">
        <v>10</v>
      </c>
      <c r="O428" s="52">
        <f t="shared" si="408"/>
        <v>125892.54117941685</v>
      </c>
      <c r="P428" s="50" t="str">
        <f t="shared" si="360"/>
        <v>23.3035714285714</v>
      </c>
      <c r="Q428" s="18" t="str">
        <f t="shared" si="361"/>
        <v>1+300.017338304778i</v>
      </c>
      <c r="R428" s="18">
        <f t="shared" si="372"/>
        <v>300.0190048704975</v>
      </c>
      <c r="S428" s="18">
        <f t="shared" si="373"/>
        <v>1.5674631984417173</v>
      </c>
      <c r="T428" s="18" t="str">
        <f t="shared" si="362"/>
        <v>1+1.40008091208896i</v>
      </c>
      <c r="U428" s="18">
        <f t="shared" si="374"/>
        <v>1.7205308949262881</v>
      </c>
      <c r="V428" s="18">
        <f t="shared" si="375"/>
        <v>0.95057417493120178</v>
      </c>
      <c r="W428" s="32" t="str">
        <f t="shared" si="363"/>
        <v>1-1.93357062560937i</v>
      </c>
      <c r="X428" s="18">
        <f t="shared" si="376"/>
        <v>2.1768544655579092</v>
      </c>
      <c r="Y428" s="18">
        <f t="shared" si="377"/>
        <v>-1.0935010247145349</v>
      </c>
      <c r="Z428" s="32" t="str">
        <f t="shared" si="364"/>
        <v>0.936604272301555+0.948989871331034i</v>
      </c>
      <c r="AA428" s="18">
        <f t="shared" si="378"/>
        <v>1.333345168657545</v>
      </c>
      <c r="AB428" s="18">
        <f t="shared" si="379"/>
        <v>0.79196660812211939</v>
      </c>
      <c r="AC428" s="68" t="str">
        <f t="shared" si="380"/>
        <v>-0.175103997651476-0.130164777629779i</v>
      </c>
      <c r="AD428" s="66">
        <f t="shared" si="381"/>
        <v>-13.223540051490829</v>
      </c>
      <c r="AE428" s="63">
        <f t="shared" si="382"/>
        <v>-143.37447524516139</v>
      </c>
      <c r="AF428" s="51" t="e">
        <f t="shared" si="383"/>
        <v>#NUM!</v>
      </c>
      <c r="AG428" s="51" t="str">
        <f t="shared" si="365"/>
        <v>1-420.02427362669i</v>
      </c>
      <c r="AH428" s="51">
        <f t="shared" si="384"/>
        <v>420.02546403239478</v>
      </c>
      <c r="AI428" s="51">
        <f t="shared" si="385"/>
        <v>-1.5684155165099443</v>
      </c>
      <c r="AJ428" s="51" t="str">
        <f t="shared" si="366"/>
        <v>1+1.40008091208896i</v>
      </c>
      <c r="AK428" s="51">
        <f t="shared" si="386"/>
        <v>1.7205308949262881</v>
      </c>
      <c r="AL428" s="51">
        <f t="shared" si="387"/>
        <v>0.95057417493120178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-0.000170731707317073</v>
      </c>
      <c r="AT428" s="32" t="str">
        <f t="shared" si="369"/>
        <v>0.0300582342708365i</v>
      </c>
      <c r="AU428" s="32">
        <f t="shared" si="393"/>
        <v>3.0058234270836499E-2</v>
      </c>
      <c r="AV428" s="32">
        <f t="shared" si="394"/>
        <v>1.5707963267948966</v>
      </c>
      <c r="AW428" s="32" t="str">
        <f t="shared" si="370"/>
        <v>1+6.3996561940623i</v>
      </c>
      <c r="AX428" s="32">
        <f t="shared" si="395"/>
        <v>6.477314212094389</v>
      </c>
      <c r="AY428" s="32">
        <f t="shared" si="396"/>
        <v>1.4157913907821182</v>
      </c>
      <c r="AZ428" s="32" t="str">
        <f t="shared" si="371"/>
        <v>1+121.593467687184i</v>
      </c>
      <c r="BA428" s="32">
        <f t="shared" si="397"/>
        <v>121.59757968065918</v>
      </c>
      <c r="BB428" s="32">
        <f t="shared" si="398"/>
        <v>1.5625723861957908</v>
      </c>
      <c r="BC428" s="60" t="str">
        <f t="shared" si="399"/>
        <v>-0.0155951636542454+0.105483716838775i</v>
      </c>
      <c r="BD428" s="51">
        <f t="shared" si="400"/>
        <v>-19.442386320599184</v>
      </c>
      <c r="BE428" s="63">
        <f t="shared" si="401"/>
        <v>98.409931549932566</v>
      </c>
      <c r="BF428" s="60" t="str">
        <f t="shared" si="402"/>
        <v>0.0164610400457691-0.016440679496451i</v>
      </c>
      <c r="BG428" s="66">
        <f t="shared" si="403"/>
        <v>-32.665926372089999</v>
      </c>
      <c r="BH428" s="63">
        <f t="shared" si="404"/>
        <v>-44.964543695228905</v>
      </c>
      <c r="BI428" s="60" t="e">
        <f t="shared" si="357"/>
        <v>#NUM!</v>
      </c>
      <c r="BJ428" s="66" t="e">
        <f t="shared" si="405"/>
        <v>#NUM!</v>
      </c>
      <c r="BK428" s="63" t="e">
        <f t="shared" si="358"/>
        <v>#NUM!</v>
      </c>
      <c r="BL428" s="51">
        <f t="shared" si="406"/>
        <v>-32.665926372089999</v>
      </c>
      <c r="BM428" s="63">
        <f t="shared" si="407"/>
        <v>-44.964543695228905</v>
      </c>
    </row>
    <row r="429" spans="14:65" x14ac:dyDescent="0.3">
      <c r="N429" s="11">
        <v>11</v>
      </c>
      <c r="O429" s="52">
        <f t="shared" si="408"/>
        <v>128824.95516931375</v>
      </c>
      <c r="P429" s="50" t="str">
        <f t="shared" si="360"/>
        <v>23.3035714285714</v>
      </c>
      <c r="Q429" s="18" t="str">
        <f t="shared" si="361"/>
        <v>1+307.005639850004i</v>
      </c>
      <c r="R429" s="18">
        <f t="shared" si="372"/>
        <v>307.00726848025988</v>
      </c>
      <c r="S429" s="18">
        <f t="shared" si="373"/>
        <v>1.5675390691630489</v>
      </c>
      <c r="T429" s="18" t="str">
        <f t="shared" si="362"/>
        <v>1+1.43269298596669i</v>
      </c>
      <c r="U429" s="18">
        <f t="shared" si="374"/>
        <v>1.7471717694714937</v>
      </c>
      <c r="V429" s="18">
        <f t="shared" si="375"/>
        <v>0.96142315365868103</v>
      </c>
      <c r="W429" s="32" t="str">
        <f t="shared" si="363"/>
        <v>1-1.97860927126598i</v>
      </c>
      <c r="X429" s="18">
        <f t="shared" si="376"/>
        <v>2.2169561674376181</v>
      </c>
      <c r="Y429" s="18">
        <f t="shared" si="377"/>
        <v>-1.1028336778602499</v>
      </c>
      <c r="Z429" s="32" t="str">
        <f t="shared" si="364"/>
        <v>0.933616523702497+0.971094685078464i</v>
      </c>
      <c r="AA429" s="18">
        <f t="shared" si="378"/>
        <v>1.3470949115478006</v>
      </c>
      <c r="AB429" s="18">
        <f t="shared" si="379"/>
        <v>0.80507218303779482</v>
      </c>
      <c r="AC429" s="68" t="str">
        <f t="shared" si="380"/>
        <v>-0.176669553158964-0.128156241383267i</v>
      </c>
      <c r="AD429" s="66">
        <f t="shared" si="381"/>
        <v>-13.220633165273997</v>
      </c>
      <c r="AE429" s="63">
        <f t="shared" si="382"/>
        <v>-144.04283739184021</v>
      </c>
      <c r="AF429" s="51" t="e">
        <f t="shared" si="383"/>
        <v>#NUM!</v>
      </c>
      <c r="AG429" s="51" t="str">
        <f t="shared" si="365"/>
        <v>1-429.807895790006i</v>
      </c>
      <c r="AH429" s="51">
        <f t="shared" si="384"/>
        <v>429.80905909884297</v>
      </c>
      <c r="AI429" s="51">
        <f t="shared" si="385"/>
        <v>-1.5684697101705565</v>
      </c>
      <c r="AJ429" s="51" t="str">
        <f t="shared" si="366"/>
        <v>1+1.43269298596669i</v>
      </c>
      <c r="AK429" s="51">
        <f t="shared" si="386"/>
        <v>1.7471717694714937</v>
      </c>
      <c r="AL429" s="51">
        <f t="shared" si="387"/>
        <v>0.96142315365868103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-0.000170731707317073</v>
      </c>
      <c r="AT429" s="32" t="str">
        <f t="shared" si="369"/>
        <v>0.0307583804896802i</v>
      </c>
      <c r="AU429" s="32">
        <f t="shared" si="393"/>
        <v>3.0758380489680201E-2</v>
      </c>
      <c r="AV429" s="32">
        <f t="shared" si="394"/>
        <v>1.5707963267948966</v>
      </c>
      <c r="AW429" s="32" t="str">
        <f t="shared" si="370"/>
        <v>1+6.54872333639008i</v>
      </c>
      <c r="AX429" s="32">
        <f t="shared" si="395"/>
        <v>6.6246341285070249</v>
      </c>
      <c r="AY429" s="32">
        <f t="shared" si="396"/>
        <v>1.4192653597671585</v>
      </c>
      <c r="AZ429" s="32" t="str">
        <f t="shared" si="371"/>
        <v>1+124.425743391412i</v>
      </c>
      <c r="BA429" s="32">
        <f t="shared" si="397"/>
        <v>124.42976178754627</v>
      </c>
      <c r="BB429" s="32">
        <f t="shared" si="398"/>
        <v>1.5627595777840155</v>
      </c>
      <c r="BC429" s="60" t="str">
        <f t="shared" si="399"/>
        <v>-0.014909259413844+0.103187352918909i</v>
      </c>
      <c r="BD429" s="51">
        <f t="shared" si="400"/>
        <v>-19.637738192645781</v>
      </c>
      <c r="BE429" s="63">
        <f t="shared" si="401"/>
        <v>98.221613076896062</v>
      </c>
      <c r="BF429" s="60" t="str">
        <f t="shared" si="402"/>
        <v>0.015858115506951-0.0163193488835536i</v>
      </c>
      <c r="BG429" s="66">
        <f t="shared" si="403"/>
        <v>-32.858371357919779</v>
      </c>
      <c r="BH429" s="63">
        <f t="shared" si="404"/>
        <v>-45.821224314944018</v>
      </c>
      <c r="BI429" s="60" t="e">
        <f t="shared" si="357"/>
        <v>#NUM!</v>
      </c>
      <c r="BJ429" s="66" t="e">
        <f t="shared" si="405"/>
        <v>#NUM!</v>
      </c>
      <c r="BK429" s="63" t="e">
        <f t="shared" si="358"/>
        <v>#NUM!</v>
      </c>
      <c r="BL429" s="51">
        <f t="shared" si="406"/>
        <v>-32.858371357919779</v>
      </c>
      <c r="BM429" s="63">
        <f t="shared" si="407"/>
        <v>-45.821224314944018</v>
      </c>
    </row>
    <row r="430" spans="14:65" x14ac:dyDescent="0.3">
      <c r="N430" s="11">
        <v>12</v>
      </c>
      <c r="O430" s="52">
        <f t="shared" si="408"/>
        <v>131825.67385564081</v>
      </c>
      <c r="P430" s="50" t="str">
        <f t="shared" si="360"/>
        <v>23.3035714285714</v>
      </c>
      <c r="Q430" s="18" t="str">
        <f t="shared" si="361"/>
        <v>1+314.156719849177i</v>
      </c>
      <c r="R430" s="18">
        <f t="shared" si="372"/>
        <v>314.15831140747224</v>
      </c>
      <c r="S430" s="18">
        <f t="shared" si="373"/>
        <v>1.5676132128921505</v>
      </c>
      <c r="T430" s="18" t="str">
        <f t="shared" si="362"/>
        <v>1+1.46606469262949i</v>
      </c>
      <c r="U430" s="18">
        <f t="shared" si="374"/>
        <v>1.7746395924172325</v>
      </c>
      <c r="V430" s="18">
        <f t="shared" si="375"/>
        <v>0.97218634429404049</v>
      </c>
      <c r="W430" s="32" t="str">
        <f t="shared" si="363"/>
        <v>1-2.0246970017482i</v>
      </c>
      <c r="X430" s="18">
        <f t="shared" si="376"/>
        <v>2.2581846578365004</v>
      </c>
      <c r="Y430" s="18">
        <f t="shared" si="377"/>
        <v>-1.1120397611142165</v>
      </c>
      <c r="Z430" s="32" t="str">
        <f t="shared" si="364"/>
        <v>0.930487966850025+0.993714386081875i</v>
      </c>
      <c r="AA430" s="18">
        <f t="shared" si="378"/>
        <v>1.361350850280254</v>
      </c>
      <c r="AB430" s="18">
        <f t="shared" si="379"/>
        <v>0.81824485390531576</v>
      </c>
      <c r="AC430" s="68" t="str">
        <f t="shared" si="380"/>
        <v>-0.178239729697935-0.126141886561253i</v>
      </c>
      <c r="AD430" s="66">
        <f t="shared" si="381"/>
        <v>-13.216530345967037</v>
      </c>
      <c r="AE430" s="63">
        <f t="shared" si="382"/>
        <v>-144.71260827901645</v>
      </c>
      <c r="AF430" s="51" t="e">
        <f t="shared" si="383"/>
        <v>#NUM!</v>
      </c>
      <c r="AG430" s="51" t="str">
        <f t="shared" si="365"/>
        <v>1-439.819407788849i</v>
      </c>
      <c r="AH430" s="51">
        <f t="shared" si="384"/>
        <v>439.82054461761317</v>
      </c>
      <c r="AI430" s="51">
        <f t="shared" si="385"/>
        <v>-1.5685226702460522</v>
      </c>
      <c r="AJ430" s="51" t="str">
        <f t="shared" si="366"/>
        <v>1+1.46606469262949i</v>
      </c>
      <c r="AK430" s="51">
        <f t="shared" si="386"/>
        <v>1.7746395924172325</v>
      </c>
      <c r="AL430" s="51">
        <f t="shared" si="387"/>
        <v>0.97218634429404049</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-0.000170731707317073</v>
      </c>
      <c r="AT430" s="32" t="str">
        <f t="shared" si="369"/>
        <v>0.0314748352089948i</v>
      </c>
      <c r="AU430" s="32">
        <f t="shared" si="393"/>
        <v>3.14748352089948E-2</v>
      </c>
      <c r="AV430" s="32">
        <f t="shared" si="394"/>
        <v>1.5707963267948966</v>
      </c>
      <c r="AW430" s="32" t="str">
        <f t="shared" si="370"/>
        <v>1+6.7012626985134i</v>
      </c>
      <c r="AX430" s="32">
        <f t="shared" si="395"/>
        <v>6.7754646891919599</v>
      </c>
      <c r="AY430" s="32">
        <f t="shared" si="396"/>
        <v>1.4226638167575609</v>
      </c>
      <c r="AZ430" s="32" t="str">
        <f t="shared" si="371"/>
        <v>1+127.323991271755i</v>
      </c>
      <c r="BA430" s="32">
        <f t="shared" si="397"/>
        <v>127.32791820087984</v>
      </c>
      <c r="BB430" s="32">
        <f t="shared" si="398"/>
        <v>1.5629425089157296</v>
      </c>
      <c r="BC430" s="60" t="str">
        <f t="shared" si="399"/>
        <v>-0.0142528493282238+0.100936475198331i</v>
      </c>
      <c r="BD430" s="51">
        <f t="shared" si="400"/>
        <v>-19.833294589684197</v>
      </c>
      <c r="BE430" s="63">
        <f t="shared" si="401"/>
        <v>98.037377016277986</v>
      </c>
      <c r="BF430" s="60" t="str">
        <f t="shared" si="402"/>
        <v>0.0152727414160486-0.0161930087528774i</v>
      </c>
      <c r="BG430" s="66">
        <f t="shared" si="403"/>
        <v>-33.04982493565123</v>
      </c>
      <c r="BH430" s="63">
        <f t="shared" si="404"/>
        <v>-46.675231262738457</v>
      </c>
      <c r="BI430" s="60" t="e">
        <f t="shared" si="357"/>
        <v>#NUM!</v>
      </c>
      <c r="BJ430" s="66" t="e">
        <f t="shared" si="405"/>
        <v>#NUM!</v>
      </c>
      <c r="BK430" s="63" t="e">
        <f t="shared" si="358"/>
        <v>#NUM!</v>
      </c>
      <c r="BL430" s="51">
        <f t="shared" si="406"/>
        <v>-33.04982493565123</v>
      </c>
      <c r="BM430" s="63">
        <f t="shared" si="407"/>
        <v>-46.675231262738457</v>
      </c>
    </row>
    <row r="431" spans="14:65" x14ac:dyDescent="0.3">
      <c r="N431" s="11">
        <v>13</v>
      </c>
      <c r="O431" s="52">
        <f t="shared" si="408"/>
        <v>134896.28825916545</v>
      </c>
      <c r="P431" s="50" t="str">
        <f t="shared" si="360"/>
        <v>23.3035714285714</v>
      </c>
      <c r="Q431" s="18" t="str">
        <f t="shared" si="361"/>
        <v>1+321.474369899571i</v>
      </c>
      <c r="R431" s="18">
        <f t="shared" si="372"/>
        <v>321.47592522975367</v>
      </c>
      <c r="S431" s="18">
        <f t="shared" si="373"/>
        <v>1.5676856689377465</v>
      </c>
      <c r="T431" s="18" t="str">
        <f t="shared" si="362"/>
        <v>1+1.500213726198i</v>
      </c>
      <c r="U431" s="18">
        <f t="shared" si="374"/>
        <v>1.8029534725757312</v>
      </c>
      <c r="V431" s="18">
        <f t="shared" si="375"/>
        <v>0.98285947866800838</v>
      </c>
      <c r="W431" s="32" t="str">
        <f t="shared" si="363"/>
        <v>1-2.07185825338079i</v>
      </c>
      <c r="X431" s="18">
        <f t="shared" si="376"/>
        <v>2.3005644138128578</v>
      </c>
      <c r="Y431" s="18">
        <f t="shared" si="377"/>
        <v>-1.1211179128544604</v>
      </c>
      <c r="Z431" s="32" t="str">
        <f t="shared" si="364"/>
        <v>0.9272119656556+1.01686096760615i</v>
      </c>
      <c r="AA431" s="18">
        <f t="shared" si="378"/>
        <v>1.3761279942998896</v>
      </c>
      <c r="AB431" s="18">
        <f t="shared" si="379"/>
        <v>0.83147952953900262</v>
      </c>
      <c r="AC431" s="68" t="str">
        <f t="shared" si="380"/>
        <v>-0.179812742811806-0.12412017862255i</v>
      </c>
      <c r="AD431" s="66">
        <f t="shared" si="381"/>
        <v>-13.211317659142372</v>
      </c>
      <c r="AE431" s="63">
        <f t="shared" si="382"/>
        <v>-145.38366498835529</v>
      </c>
      <c r="AF431" s="51" t="e">
        <f t="shared" si="383"/>
        <v>#NUM!</v>
      </c>
      <c r="AG431" s="51" t="str">
        <f t="shared" si="365"/>
        <v>1-450.064117859401i</v>
      </c>
      <c r="AH431" s="51">
        <f t="shared" si="384"/>
        <v>450.06522881084771</v>
      </c>
      <c r="AI431" s="51">
        <f t="shared" si="385"/>
        <v>-1.5685744248153752</v>
      </c>
      <c r="AJ431" s="51" t="str">
        <f t="shared" si="366"/>
        <v>1+1.500213726198i</v>
      </c>
      <c r="AK431" s="51">
        <f t="shared" si="386"/>
        <v>1.8029534725757312</v>
      </c>
      <c r="AL431" s="51">
        <f t="shared" si="387"/>
        <v>0.98285947866800838</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-0.000170731707317073</v>
      </c>
      <c r="AT431" s="32" t="str">
        <f t="shared" si="369"/>
        <v>0.0322079783025559i</v>
      </c>
      <c r="AU431" s="32">
        <f t="shared" si="393"/>
        <v>3.2207978302555902E-2</v>
      </c>
      <c r="AV431" s="32">
        <f t="shared" si="394"/>
        <v>1.5707963267948966</v>
      </c>
      <c r="AW431" s="32" t="str">
        <f t="shared" si="370"/>
        <v>1+6.85735515882117i</v>
      </c>
      <c r="AX431" s="32">
        <f t="shared" si="395"/>
        <v>6.9298859856574344</v>
      </c>
      <c r="AY431" s="32">
        <f t="shared" si="396"/>
        <v>1.4259882494938567</v>
      </c>
      <c r="AZ431" s="32" t="str">
        <f t="shared" si="371"/>
        <v>1+130.289748017603i</v>
      </c>
      <c r="BA431" s="32">
        <f t="shared" si="397"/>
        <v>130.29358556157123</v>
      </c>
      <c r="BB431" s="32">
        <f t="shared" si="398"/>
        <v>1.5631212765344396</v>
      </c>
      <c r="BC431" s="60" t="str">
        <f t="shared" si="399"/>
        <v>-0.0136247231962633+0.098730479407508i</v>
      </c>
      <c r="BD431" s="51">
        <f t="shared" si="400"/>
        <v>-20.029046709177717</v>
      </c>
      <c r="BE431" s="63">
        <f t="shared" si="401"/>
        <v>97.857143681278785</v>
      </c>
      <c r="BF431" s="60" t="str">
        <f t="shared" si="402"/>
        <v>0.0147043435875216-0.0160618952245855i</v>
      </c>
      <c r="BG431" s="66">
        <f t="shared" si="403"/>
        <v>-33.240364368320108</v>
      </c>
      <c r="BH431" s="63">
        <f t="shared" si="404"/>
        <v>-47.5265213070765</v>
      </c>
      <c r="BI431" s="60" t="e">
        <f t="shared" si="357"/>
        <v>#NUM!</v>
      </c>
      <c r="BJ431" s="66" t="e">
        <f t="shared" si="405"/>
        <v>#NUM!</v>
      </c>
      <c r="BK431" s="63" t="e">
        <f t="shared" si="358"/>
        <v>#NUM!</v>
      </c>
      <c r="BL431" s="51">
        <f t="shared" si="406"/>
        <v>-33.240364368320108</v>
      </c>
      <c r="BM431" s="63">
        <f t="shared" si="407"/>
        <v>-47.5265213070765</v>
      </c>
    </row>
    <row r="432" spans="14:65" x14ac:dyDescent="0.3">
      <c r="N432" s="11">
        <v>14</v>
      </c>
      <c r="O432" s="52">
        <f t="shared" si="408"/>
        <v>138038.42646028858</v>
      </c>
      <c r="P432" s="50" t="str">
        <f t="shared" si="360"/>
        <v>23.3035714285714</v>
      </c>
      <c r="Q432" s="18" t="str">
        <f t="shared" si="361"/>
        <v>1+328.962469916102i</v>
      </c>
      <c r="R432" s="18">
        <f t="shared" si="372"/>
        <v>328.96398984281291</v>
      </c>
      <c r="S432" s="18">
        <f t="shared" si="373"/>
        <v>1.5677564757139462</v>
      </c>
      <c r="T432" s="18" t="str">
        <f t="shared" si="362"/>
        <v>1+1.53515819294181i</v>
      </c>
      <c r="U432" s="18">
        <f t="shared" si="374"/>
        <v>1.8321328219745325</v>
      </c>
      <c r="V432" s="18">
        <f t="shared" si="375"/>
        <v>0.99343848906244581</v>
      </c>
      <c r="W432" s="32" t="str">
        <f t="shared" si="363"/>
        <v>1-2.12011803168361i</v>
      </c>
      <c r="X432" s="18">
        <f t="shared" si="376"/>
        <v>2.34412040396179</v>
      </c>
      <c r="Y432" s="18">
        <f t="shared" si="377"/>
        <v>-1.1300669602160445</v>
      </c>
      <c r="Z432" s="32" t="str">
        <f t="shared" si="364"/>
        <v>0.92378157128147+1.04054670227521i</v>
      </c>
      <c r="AA432" s="18">
        <f t="shared" si="378"/>
        <v>1.3914416376747809</v>
      </c>
      <c r="AB432" s="18">
        <f t="shared" si="379"/>
        <v>0.84477107764803305</v>
      </c>
      <c r="AC432" s="68" t="str">
        <f t="shared" si="380"/>
        <v>-0.18138677412312-0.122089696525413i</v>
      </c>
      <c r="AD432" s="66">
        <f t="shared" si="381"/>
        <v>-13.20508001306564</v>
      </c>
      <c r="AE432" s="63">
        <f t="shared" si="382"/>
        <v>-146.05588152509006</v>
      </c>
      <c r="AF432" s="51" t="e">
        <f t="shared" si="383"/>
        <v>#NUM!</v>
      </c>
      <c r="AG432" s="51" t="str">
        <f t="shared" si="365"/>
        <v>1-460.547457882544i</v>
      </c>
      <c r="AH432" s="51">
        <f t="shared" si="384"/>
        <v>460.54854354570881</v>
      </c>
      <c r="AI432" s="51">
        <f t="shared" si="385"/>
        <v>-1.568625001318374</v>
      </c>
      <c r="AJ432" s="51" t="str">
        <f t="shared" si="366"/>
        <v>1+1.53515819294181i</v>
      </c>
      <c r="AK432" s="51">
        <f t="shared" si="386"/>
        <v>1.8321328219745325</v>
      </c>
      <c r="AL432" s="51">
        <f t="shared" si="387"/>
        <v>0.99343848906244581</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-0.000170731707317073</v>
      </c>
      <c r="AT432" s="32" t="str">
        <f t="shared" si="369"/>
        <v>0.0329581984925361i</v>
      </c>
      <c r="AU432" s="32">
        <f t="shared" si="393"/>
        <v>3.2958198492536103E-2</v>
      </c>
      <c r="AV432" s="32">
        <f t="shared" si="394"/>
        <v>1.5707963267948966</v>
      </c>
      <c r="AW432" s="32" t="str">
        <f t="shared" si="370"/>
        <v>1+7.01708347960199i</v>
      </c>
      <c r="AX432" s="32">
        <f t="shared" si="395"/>
        <v>7.0879800055941997</v>
      </c>
      <c r="AY432" s="32">
        <f t="shared" si="396"/>
        <v>1.4292401265525454</v>
      </c>
      <c r="AZ432" s="32" t="str">
        <f t="shared" si="371"/>
        <v>1+133.324586112438i</v>
      </c>
      <c r="BA432" s="32">
        <f t="shared" si="397"/>
        <v>133.32833630572645</v>
      </c>
      <c r="BB432" s="32">
        <f t="shared" si="398"/>
        <v>1.5632959753793727</v>
      </c>
      <c r="BC432" s="60" t="str">
        <f t="shared" si="399"/>
        <v>-0.013023715453945+0.0965687485420528i</v>
      </c>
      <c r="BD432" s="51">
        <f t="shared" si="400"/>
        <v>-20.224986110452321</v>
      </c>
      <c r="BE432" s="63">
        <f t="shared" si="401"/>
        <v>97.680834356821038</v>
      </c>
      <c r="BF432" s="60" t="str">
        <f t="shared" si="402"/>
        <v>0.0141523789366267-0.0159262323117442i</v>
      </c>
      <c r="BG432" s="66">
        <f t="shared" si="403"/>
        <v>-33.43006612351796</v>
      </c>
      <c r="BH432" s="63">
        <f t="shared" si="404"/>
        <v>-48.375047168268878</v>
      </c>
      <c r="BI432" s="60" t="e">
        <f t="shared" si="357"/>
        <v>#NUM!</v>
      </c>
      <c r="BJ432" s="66" t="e">
        <f t="shared" si="405"/>
        <v>#NUM!</v>
      </c>
      <c r="BK432" s="63" t="e">
        <f t="shared" si="358"/>
        <v>#NUM!</v>
      </c>
      <c r="BL432" s="51">
        <f t="shared" si="406"/>
        <v>-33.43006612351796</v>
      </c>
      <c r="BM432" s="63">
        <f t="shared" si="407"/>
        <v>-48.375047168268878</v>
      </c>
    </row>
    <row r="433" spans="14:65" x14ac:dyDescent="0.3">
      <c r="N433" s="11">
        <v>15</v>
      </c>
      <c r="O433" s="52">
        <f t="shared" si="408"/>
        <v>141253.75446227577</v>
      </c>
      <c r="P433" s="50" t="str">
        <f t="shared" si="360"/>
        <v>23.3035714285714</v>
      </c>
      <c r="Q433" s="18" t="str">
        <f t="shared" si="361"/>
        <v>1+336.624990188517i</v>
      </c>
      <c r="R433" s="18">
        <f t="shared" si="372"/>
        <v>336.62647551762649</v>
      </c>
      <c r="S433" s="18">
        <f t="shared" si="373"/>
        <v>1.5678256707605982</v>
      </c>
      <c r="T433" s="18" t="str">
        <f t="shared" si="362"/>
        <v>1+1.57091662087974i</v>
      </c>
      <c r="U433" s="18">
        <f t="shared" si="374"/>
        <v>1.8621973659513702</v>
      </c>
      <c r="V433" s="18">
        <f t="shared" si="375"/>
        <v>1.0039195128302687</v>
      </c>
      <c r="W433" s="32" t="str">
        <f t="shared" si="363"/>
        <v>1-2.1695019246299i</v>
      </c>
      <c r="X433" s="18">
        <f t="shared" si="376"/>
        <v>2.388878105088839</v>
      </c>
      <c r="Y433" s="18">
        <f t="shared" si="377"/>
        <v>-1.1388859135975835</v>
      </c>
      <c r="Z433" s="32" t="str">
        <f t="shared" si="364"/>
        <v>0.920189507401244+1.06478414857907i</v>
      </c>
      <c r="AA433" s="18">
        <f t="shared" si="378"/>
        <v>1.4073073625177261</v>
      </c>
      <c r="AB433" s="18">
        <f t="shared" si="379"/>
        <v>0.85811434073218928</v>
      </c>
      <c r="AC433" s="68" t="str">
        <f t="shared" si="380"/>
        <v>-0.182959978149453-0.120049134327551i</v>
      </c>
      <c r="AD433" s="66">
        <f t="shared" si="381"/>
        <v>-13.197900942144232</v>
      </c>
      <c r="AE433" s="63">
        <f t="shared" si="382"/>
        <v>-146.72912915049363</v>
      </c>
      <c r="AF433" s="51" t="e">
        <f t="shared" si="383"/>
        <v>#NUM!</v>
      </c>
      <c r="AG433" s="51" t="str">
        <f t="shared" si="365"/>
        <v>1-471.274986263924i</v>
      </c>
      <c r="AH433" s="51">
        <f t="shared" si="384"/>
        <v>471.27604721443436</v>
      </c>
      <c r="AI433" s="51">
        <f t="shared" si="385"/>
        <v>-1.5686744265703443</v>
      </c>
      <c r="AJ433" s="51" t="str">
        <f t="shared" si="366"/>
        <v>1+1.57091662087974i</v>
      </c>
      <c r="AK433" s="51">
        <f t="shared" si="386"/>
        <v>1.8621973659513702</v>
      </c>
      <c r="AL433" s="51">
        <f t="shared" si="387"/>
        <v>1.0039195128302687</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-0.000170731707317073</v>
      </c>
      <c r="AT433" s="32" t="str">
        <f t="shared" si="369"/>
        <v>0.0337258935556103i</v>
      </c>
      <c r="AU433" s="32">
        <f t="shared" si="393"/>
        <v>3.3725893555610301E-2</v>
      </c>
      <c r="AV433" s="32">
        <f t="shared" si="394"/>
        <v>1.5707963267948966</v>
      </c>
      <c r="AW433" s="32" t="str">
        <f t="shared" si="370"/>
        <v>1+7.18053235092578i</v>
      </c>
      <c r="AX433" s="32">
        <f t="shared" si="395"/>
        <v>7.2498306768290597</v>
      </c>
      <c r="AY433" s="32">
        <f t="shared" si="396"/>
        <v>1.4324208968772894</v>
      </c>
      <c r="AZ433" s="32" t="str">
        <f t="shared" si="371"/>
        <v>1+136.43011466759i</v>
      </c>
      <c r="BA433" s="32">
        <f t="shared" si="397"/>
        <v>136.43377949837699</v>
      </c>
      <c r="BB433" s="32">
        <f t="shared" si="398"/>
        <v>1.5634666980354908</v>
      </c>
      <c r="BC433" s="60" t="str">
        <f t="shared" si="399"/>
        <v>-0.0124487039698605+0.0944506546839695i</v>
      </c>
      <c r="BD433" s="51">
        <f t="shared" si="400"/>
        <v>-20.421104701290137</v>
      </c>
      <c r="BE433" s="63">
        <f t="shared" si="401"/>
        <v>97.508371329275505</v>
      </c>
      <c r="BF433" s="60" t="str">
        <f t="shared" si="402"/>
        <v>0.0136163339377957-0.0157862335820989i</v>
      </c>
      <c r="BG433" s="66">
        <f t="shared" si="403"/>
        <v>-33.619005643434356</v>
      </c>
      <c r="BH433" s="63">
        <f t="shared" si="404"/>
        <v>-49.220757821218108</v>
      </c>
      <c r="BI433" s="60" t="e">
        <f t="shared" si="357"/>
        <v>#NUM!</v>
      </c>
      <c r="BJ433" s="66" t="e">
        <f t="shared" si="405"/>
        <v>#NUM!</v>
      </c>
      <c r="BK433" s="63" t="e">
        <f t="shared" si="358"/>
        <v>#NUM!</v>
      </c>
      <c r="BL433" s="51">
        <f t="shared" si="406"/>
        <v>-33.619005643434356</v>
      </c>
      <c r="BM433" s="63">
        <f t="shared" si="407"/>
        <v>-49.220757821218108</v>
      </c>
    </row>
    <row r="434" spans="14:65" x14ac:dyDescent="0.3">
      <c r="N434" s="11">
        <v>16</v>
      </c>
      <c r="O434" s="52">
        <f t="shared" si="408"/>
        <v>144543.97707459307</v>
      </c>
      <c r="P434" s="50" t="str">
        <f t="shared" si="360"/>
        <v>23.3035714285714</v>
      </c>
      <c r="Q434" s="18" t="str">
        <f t="shared" si="361"/>
        <v>1+344.465993486486i</v>
      </c>
      <c r="R434" s="18">
        <f t="shared" si="372"/>
        <v>344.46744500552126</v>
      </c>
      <c r="S434" s="18">
        <f t="shared" si="373"/>
        <v>1.56789329076318</v>
      </c>
      <c r="T434" s="18" t="str">
        <f t="shared" si="362"/>
        <v>1+1.6075079696036i</v>
      </c>
      <c r="U434" s="18">
        <f t="shared" si="374"/>
        <v>1.8931671538295525</v>
      </c>
      <c r="V434" s="18">
        <f t="shared" si="375"/>
        <v>1.0142988960384463</v>
      </c>
      <c r="W434" s="32" t="str">
        <f t="shared" si="363"/>
        <v>1-2.22003611621339i</v>
      </c>
      <c r="X434" s="18">
        <f t="shared" si="376"/>
        <v>2.4348635192330255</v>
      </c>
      <c r="Y434" s="18">
        <f t="shared" si="377"/>
        <v>-1.1475739608294431</v>
      </c>
      <c r="Z434" s="32" t="str">
        <f t="shared" si="364"/>
        <v>0.916428154765838+1.08958615753259i</v>
      </c>
      <c r="AA434" s="18">
        <f t="shared" si="378"/>
        <v>1.4237410430040123</v>
      </c>
      <c r="AB434" s="18">
        <f t="shared" si="379"/>
        <v>0.87150415225287514</v>
      </c>
      <c r="AC434" s="68" t="str">
        <f t="shared" si="380"/>
        <v>-0.184530489284209-0.117997302188026i</v>
      </c>
      <c r="AD434" s="66">
        <f t="shared" si="381"/>
        <v>-13.18986240502403</v>
      </c>
      <c r="AE434" s="63">
        <f t="shared" si="382"/>
        <v>-147.40327676668144</v>
      </c>
      <c r="AF434" s="51" t="e">
        <f t="shared" si="383"/>
        <v>#NUM!</v>
      </c>
      <c r="AG434" s="51" t="str">
        <f t="shared" si="365"/>
        <v>1-482.252390881082i</v>
      </c>
      <c r="AH434" s="51">
        <f t="shared" si="384"/>
        <v>482.25342768146282</v>
      </c>
      <c r="AI434" s="51">
        <f t="shared" si="385"/>
        <v>-1.568722726776242</v>
      </c>
      <c r="AJ434" s="51" t="str">
        <f t="shared" si="366"/>
        <v>1+1.6075079696036i</v>
      </c>
      <c r="AK434" s="51">
        <f t="shared" si="386"/>
        <v>1.8931671538295525</v>
      </c>
      <c r="AL434" s="51">
        <f t="shared" si="387"/>
        <v>1.0142988960384463</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-0.000170731707317073</v>
      </c>
      <c r="AT434" s="32" t="str">
        <f t="shared" si="369"/>
        <v>0.0345114705338627i</v>
      </c>
      <c r="AU434" s="32">
        <f t="shared" si="393"/>
        <v>3.45114705338627E-2</v>
      </c>
      <c r="AV434" s="32">
        <f t="shared" si="394"/>
        <v>1.5707963267948966</v>
      </c>
      <c r="AW434" s="32" t="str">
        <f t="shared" si="370"/>
        <v>1+7.34778843554759i</v>
      </c>
      <c r="AX434" s="32">
        <f t="shared" si="395"/>
        <v>7.4155239122780063</v>
      </c>
      <c r="AY434" s="32">
        <f t="shared" si="396"/>
        <v>1.4355319893732907</v>
      </c>
      <c r="AZ434" s="32" t="str">
        <f t="shared" si="371"/>
        <v>1+139.607980275405i</v>
      </c>
      <c r="BA434" s="32">
        <f t="shared" si="397"/>
        <v>139.61156168662347</v>
      </c>
      <c r="BB434" s="32">
        <f t="shared" si="398"/>
        <v>1.5636335349823751</v>
      </c>
      <c r="BC434" s="60" t="str">
        <f t="shared" si="399"/>
        <v>-0.0118986088315824+0.0923755607032605i</v>
      </c>
      <c r="BD434" s="51">
        <f t="shared" si="400"/>
        <v>-20.617394724890971</v>
      </c>
      <c r="BE434" s="63">
        <f t="shared" si="401"/>
        <v>97.339677912503163</v>
      </c>
      <c r="BF434" s="60" t="str">
        <f t="shared" si="402"/>
        <v>0.0130957230605843-0.0156421036725585i</v>
      </c>
      <c r="BG434" s="66">
        <f t="shared" si="403"/>
        <v>-33.807257129914987</v>
      </c>
      <c r="BH434" s="63">
        <f t="shared" si="404"/>
        <v>-50.063598854178295</v>
      </c>
      <c r="BI434" s="60" t="e">
        <f t="shared" ref="BI434:BI497" si="409">IMPRODUCT(AP434,BC434)</f>
        <v>#NUM!</v>
      </c>
      <c r="BJ434" s="66" t="e">
        <f t="shared" si="405"/>
        <v>#NUM!</v>
      </c>
      <c r="BK434" s="63" t="e">
        <f t="shared" ref="BK434:BK497" si="410">(180/PI())*IMARGUMENT(BI434)</f>
        <v>#NUM!</v>
      </c>
      <c r="BL434" s="51">
        <f t="shared" si="406"/>
        <v>-33.807257129914987</v>
      </c>
      <c r="BM434" s="63">
        <f t="shared" si="407"/>
        <v>-50.063598854178295</v>
      </c>
    </row>
    <row r="435" spans="14:65" x14ac:dyDescent="0.3">
      <c r="N435" s="11">
        <v>17</v>
      </c>
      <c r="O435" s="52">
        <f t="shared" si="408"/>
        <v>147910.83881682079</v>
      </c>
      <c r="P435" s="50" t="str">
        <f t="shared" si="360"/>
        <v>23.3035714285714</v>
      </c>
      <c r="Q435" s="18" t="str">
        <f t="shared" si="361"/>
        <v>1+352.489637213749i</v>
      </c>
      <c r="R435" s="18">
        <f t="shared" si="372"/>
        <v>352.49105569231165</v>
      </c>
      <c r="S435" s="18">
        <f t="shared" si="373"/>
        <v>1.5679593715722371</v>
      </c>
      <c r="T435" s="18" t="str">
        <f t="shared" si="362"/>
        <v>1+1.64495164033083i</v>
      </c>
      <c r="U435" s="18">
        <f t="shared" si="374"/>
        <v>1.9250625701589772</v>
      </c>
      <c r="V435" s="18">
        <f t="shared" si="375"/>
        <v>1.0245731961540809</v>
      </c>
      <c r="W435" s="32" t="str">
        <f t="shared" si="363"/>
        <v>1-2.27174740033134i</v>
      </c>
      <c r="X435" s="18">
        <f t="shared" si="376"/>
        <v>2.4821031910281652</v>
      </c>
      <c r="Y435" s="18">
        <f t="shared" si="377"/>
        <v>-1.1561304610553576</v>
      </c>
      <c r="Z435" s="32" t="str">
        <f t="shared" si="364"/>
        <v>0.912489535042018+1.11496587948921i</v>
      </c>
      <c r="AA435" s="18">
        <f t="shared" si="378"/>
        <v>1.4407588500461643</v>
      </c>
      <c r="AB435" s="18">
        <f t="shared" si="379"/>
        <v>0.88493535297726944</v>
      </c>
      <c r="AC435" s="68" t="str">
        <f t="shared" si="380"/>
        <v>-0.186096428878475-0.115933126754557i</v>
      </c>
      <c r="AD435" s="66">
        <f t="shared" si="381"/>
        <v>-13.181044598267498</v>
      </c>
      <c r="AE435" s="63">
        <f t="shared" si="382"/>
        <v>-148.07819134971885</v>
      </c>
      <c r="AF435" s="51" t="e">
        <f t="shared" si="383"/>
        <v>#NUM!</v>
      </c>
      <c r="AG435" s="51" t="str">
        <f t="shared" si="365"/>
        <v>1-493.485492099249i</v>
      </c>
      <c r="AH435" s="51">
        <f t="shared" si="384"/>
        <v>493.48650529922082</v>
      </c>
      <c r="AI435" s="51">
        <f t="shared" si="385"/>
        <v>-1.5687699275445741</v>
      </c>
      <c r="AJ435" s="51" t="str">
        <f t="shared" si="366"/>
        <v>1+1.64495164033083i</v>
      </c>
      <c r="AK435" s="51">
        <f t="shared" si="386"/>
        <v>1.9250625701589772</v>
      </c>
      <c r="AL435" s="51">
        <f t="shared" si="387"/>
        <v>1.0245731961540809</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-0.000170731707317073</v>
      </c>
      <c r="AT435" s="32" t="str">
        <f t="shared" si="369"/>
        <v>0.0353153459506053i</v>
      </c>
      <c r="AU435" s="32">
        <f t="shared" si="393"/>
        <v>3.5315345950605301E-2</v>
      </c>
      <c r="AV435" s="32">
        <f t="shared" si="394"/>
        <v>1.5707963267948966</v>
      </c>
      <c r="AW435" s="32" t="str">
        <f t="shared" si="370"/>
        <v>1+7.5189404148574i</v>
      </c>
      <c r="AX435" s="32">
        <f t="shared" si="395"/>
        <v>7.5851476559244357</v>
      </c>
      <c r="AY435" s="32">
        <f t="shared" si="396"/>
        <v>1.4385748125607061</v>
      </c>
      <c r="AZ435" s="32" t="str">
        <f t="shared" si="371"/>
        <v>1+142.859867882291i</v>
      </c>
      <c r="BA435" s="32">
        <f t="shared" si="397"/>
        <v>142.86336777265765</v>
      </c>
      <c r="BB435" s="32">
        <f t="shared" si="398"/>
        <v>1.5637965746420117</v>
      </c>
      <c r="BC435" s="60" t="str">
        <f t="shared" si="399"/>
        <v>-0.0113723911279859+0.0903428218454794i</v>
      </c>
      <c r="BD435" s="51">
        <f t="shared" si="400"/>
        <v>-20.813848747202716</v>
      </c>
      <c r="BE435" s="63">
        <f t="shared" si="401"/>
        <v>97.174678470450147</v>
      </c>
      <c r="BF435" s="60" t="str">
        <f t="shared" si="402"/>
        <v>0.0125900871931038-0.0154940396581048i</v>
      </c>
      <c r="BG435" s="66">
        <f t="shared" si="403"/>
        <v>-33.994893345470203</v>
      </c>
      <c r="BH435" s="63">
        <f t="shared" si="404"/>
        <v>-50.90351287926859</v>
      </c>
      <c r="BI435" s="60" t="e">
        <f t="shared" si="409"/>
        <v>#NUM!</v>
      </c>
      <c r="BJ435" s="66" t="e">
        <f t="shared" si="405"/>
        <v>#NUM!</v>
      </c>
      <c r="BK435" s="63" t="e">
        <f t="shared" si="410"/>
        <v>#NUM!</v>
      </c>
      <c r="BL435" s="51">
        <f t="shared" si="406"/>
        <v>-33.994893345470203</v>
      </c>
      <c r="BM435" s="63">
        <f t="shared" si="407"/>
        <v>-50.90351287926859</v>
      </c>
    </row>
    <row r="436" spans="14:65" x14ac:dyDescent="0.3">
      <c r="N436" s="11">
        <v>18</v>
      </c>
      <c r="O436" s="52">
        <f t="shared" si="408"/>
        <v>151356.12484362084</v>
      </c>
      <c r="P436" s="50" t="str">
        <f t="shared" si="360"/>
        <v>23.3035714285714</v>
      </c>
      <c r="Q436" s="18" t="str">
        <f t="shared" si="361"/>
        <v>1+360.700175612415i</v>
      </c>
      <c r="R436" s="18">
        <f t="shared" si="372"/>
        <v>360.7015618025892</v>
      </c>
      <c r="S436" s="18">
        <f t="shared" si="373"/>
        <v>1.5680239482223794</v>
      </c>
      <c r="T436" s="18" t="str">
        <f t="shared" si="362"/>
        <v>1+1.68326748619127i</v>
      </c>
      <c r="U436" s="18">
        <f t="shared" si="374"/>
        <v>1.9579043465064059</v>
      </c>
      <c r="V436" s="18">
        <f t="shared" si="375"/>
        <v>1.034739183800307</v>
      </c>
      <c r="W436" s="32" t="str">
        <f t="shared" si="363"/>
        <v>1-2.32466319499108i</v>
      </c>
      <c r="X436" s="18">
        <f t="shared" si="376"/>
        <v>2.530624225393042</v>
      </c>
      <c r="Y436" s="18">
        <f t="shared" si="377"/>
        <v>-1.1645549383773073</v>
      </c>
      <c r="Z436" s="32" t="str">
        <f t="shared" si="364"/>
        <v>0.908365293889289+1.14093677111346i</v>
      </c>
      <c r="AA436" s="18">
        <f t="shared" si="378"/>
        <v>1.4583772566868223</v>
      </c>
      <c r="AB436" s="18">
        <f t="shared" si="379"/>
        <v>0.89840280739146261</v>
      </c>
      <c r="AC436" s="68" t="str">
        <f t="shared" si="380"/>
        <v>-0.18765591235848-0.113855650927363i</v>
      </c>
      <c r="AD436" s="66">
        <f t="shared" si="381"/>
        <v>-13.171525786377625</v>
      </c>
      <c r="AE436" s="63">
        <f t="shared" si="382"/>
        <v>-148.75373842638578</v>
      </c>
      <c r="AF436" s="51" t="e">
        <f t="shared" si="383"/>
        <v>#NUM!</v>
      </c>
      <c r="AG436" s="51" t="str">
        <f t="shared" si="365"/>
        <v>1-504.980245857382i</v>
      </c>
      <c r="AH436" s="51">
        <f t="shared" si="384"/>
        <v>504.98123599415243</v>
      </c>
      <c r="AI436" s="51">
        <f t="shared" si="385"/>
        <v>-1.5688160539009708</v>
      </c>
      <c r="AJ436" s="51" t="str">
        <f t="shared" si="366"/>
        <v>1+1.68326748619127i</v>
      </c>
      <c r="AK436" s="51">
        <f t="shared" si="386"/>
        <v>1.9579043465064059</v>
      </c>
      <c r="AL436" s="51">
        <f t="shared" si="387"/>
        <v>1.034739183800307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-0.000170731707317073</v>
      </c>
      <c r="AT436" s="32" t="str">
        <f t="shared" si="369"/>
        <v>0.036137946031225i</v>
      </c>
      <c r="AU436" s="32">
        <f t="shared" si="393"/>
        <v>3.6137946031224999E-2</v>
      </c>
      <c r="AV436" s="32">
        <f t="shared" si="394"/>
        <v>1.5707963267948966</v>
      </c>
      <c r="AW436" s="32" t="str">
        <f t="shared" si="370"/>
        <v>1+7.69407903590013i</v>
      </c>
      <c r="AX436" s="32">
        <f t="shared" si="395"/>
        <v>7.7587919298482211</v>
      </c>
      <c r="AY436" s="32">
        <f t="shared" si="396"/>
        <v>1.4415507542831547</v>
      </c>
      <c r="AZ436" s="32" t="str">
        <f t="shared" si="371"/>
        <v>1+146.187501682103i</v>
      </c>
      <c r="BA436" s="32">
        <f t="shared" si="397"/>
        <v>146.19092190712411</v>
      </c>
      <c r="BB436" s="32">
        <f t="shared" si="398"/>
        <v>1.5639559034254948</v>
      </c>
      <c r="BC436" s="60" t="str">
        <f t="shared" si="399"/>
        <v>-0.0108690517320728+0.0883517872106992i</v>
      </c>
      <c r="BD436" s="51">
        <f t="shared" si="400"/>
        <v>-21.010459644621726</v>
      </c>
      <c r="BE436" s="63">
        <f t="shared" si="401"/>
        <v>97.01329843652546</v>
      </c>
      <c r="BF436" s="60" t="str">
        <f t="shared" si="402"/>
        <v>0.0120989920627237-0.0153422322776077i</v>
      </c>
      <c r="BG436" s="66">
        <f t="shared" si="403"/>
        <v>-34.18198543099934</v>
      </c>
      <c r="BH436" s="63">
        <f t="shared" si="404"/>
        <v>-51.740439989860214</v>
      </c>
      <c r="BI436" s="60" t="e">
        <f t="shared" si="409"/>
        <v>#NUM!</v>
      </c>
      <c r="BJ436" s="66" t="e">
        <f t="shared" si="405"/>
        <v>#NUM!</v>
      </c>
      <c r="BK436" s="63" t="e">
        <f t="shared" si="410"/>
        <v>#NUM!</v>
      </c>
      <c r="BL436" s="51">
        <f t="shared" si="406"/>
        <v>-34.18198543099934</v>
      </c>
      <c r="BM436" s="63">
        <f t="shared" si="407"/>
        <v>-51.740439989860214</v>
      </c>
    </row>
    <row r="437" spans="14:65" x14ac:dyDescent="0.3">
      <c r="N437" s="11">
        <v>19</v>
      </c>
      <c r="O437" s="52">
        <f t="shared" si="408"/>
        <v>154881.66189124843</v>
      </c>
      <c r="P437" s="50" t="str">
        <f t="shared" si="360"/>
        <v>23.3035714285714</v>
      </c>
      <c r="Q437" s="18" t="str">
        <f t="shared" si="361"/>
        <v>1+369.101962018622i</v>
      </c>
      <c r="R437" s="18">
        <f t="shared" si="372"/>
        <v>369.10331665537262</v>
      </c>
      <c r="S437" s="18">
        <f t="shared" si="373"/>
        <v>1.5680870549508461</v>
      </c>
      <c r="T437" s="18" t="str">
        <f t="shared" si="362"/>
        <v>1+1.72247582275357i</v>
      </c>
      <c r="U437" s="18">
        <f t="shared" si="374"/>
        <v>1.9917135737777629</v>
      </c>
      <c r="V437" s="18">
        <f t="shared" si="375"/>
        <v>1.0447938436148998</v>
      </c>
      <c r="W437" s="32" t="str">
        <f t="shared" si="363"/>
        <v>1-2.37881155684736i</v>
      </c>
      <c r="X437" s="18">
        <f t="shared" si="376"/>
        <v>2.580454305542061</v>
      </c>
      <c r="Y437" s="18">
        <f t="shared" si="377"/>
        <v>-1.1728470753112039</v>
      </c>
      <c r="Z437" s="32" t="str">
        <f t="shared" si="364"/>
        <v>0.90404668323922+1.16751260251583i</v>
      </c>
      <c r="AA437" s="18">
        <f t="shared" si="378"/>
        <v>1.4766130442702723</v>
      </c>
      <c r="AB437" s="18">
        <f t="shared" si="379"/>
        <v>0.91190142007735042</v>
      </c>
      <c r="AC437" s="68" t="str">
        <f t="shared" si="380"/>
        <v>-0.189207056312315-0.111764032998353i</v>
      </c>
      <c r="AD437" s="66">
        <f t="shared" si="381"/>
        <v>-13.161382148771636</v>
      </c>
      <c r="AE437" s="63">
        <f t="shared" si="382"/>
        <v>-149.42978258940983</v>
      </c>
      <c r="AF437" s="51" t="e">
        <f t="shared" si="383"/>
        <v>#NUM!</v>
      </c>
      <c r="AG437" s="51" t="str">
        <f t="shared" si="365"/>
        <v>1-516.742746826072i</v>
      </c>
      <c r="AH437" s="51">
        <f t="shared" si="384"/>
        <v>516.74371442462075</v>
      </c>
      <c r="AI437" s="51">
        <f t="shared" si="385"/>
        <v>-1.5688611303014512</v>
      </c>
      <c r="AJ437" s="51" t="str">
        <f t="shared" si="366"/>
        <v>1+1.72247582275357i</v>
      </c>
      <c r="AK437" s="51">
        <f t="shared" si="386"/>
        <v>1.9917135737777629</v>
      </c>
      <c r="AL437" s="51">
        <f t="shared" si="387"/>
        <v>1.0447938436148998</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-0.000170731707317073</v>
      </c>
      <c r="AT437" s="32" t="str">
        <f t="shared" si="369"/>
        <v>0.0369797069291726i</v>
      </c>
      <c r="AU437" s="32">
        <f t="shared" si="393"/>
        <v>3.6979706929172601E-2</v>
      </c>
      <c r="AV437" s="32">
        <f t="shared" si="394"/>
        <v>1.5707963267948966</v>
      </c>
      <c r="AW437" s="32" t="str">
        <f t="shared" si="370"/>
        <v>1+7.87329715949088i</v>
      </c>
      <c r="AX437" s="32">
        <f t="shared" si="395"/>
        <v>7.9365488823321169</v>
      </c>
      <c r="AY437" s="32">
        <f t="shared" si="396"/>
        <v>1.4444611814675681</v>
      </c>
      <c r="AZ437" s="32" t="str">
        <f t="shared" si="371"/>
        <v>1+149.592646030327i</v>
      </c>
      <c r="BA437" s="32">
        <f t="shared" si="397"/>
        <v>149.59598840328138</v>
      </c>
      <c r="BB437" s="32">
        <f t="shared" si="398"/>
        <v>1.5641116057786786</v>
      </c>
      <c r="BC437" s="60" t="str">
        <f t="shared" si="399"/>
        <v>-0.0103876300883505+0.0864018011292569i</v>
      </c>
      <c r="BD437" s="51">
        <f t="shared" si="400"/>
        <v>-21.207220592062718</v>
      </c>
      <c r="BE437" s="63">
        <f t="shared" si="401"/>
        <v>96.855464329976101</v>
      </c>
      <c r="BF437" s="60" t="str">
        <f t="shared" si="402"/>
        <v>0.0116220266636054-0.0151868670197797i</v>
      </c>
      <c r="BG437" s="66">
        <f t="shared" si="403"/>
        <v>-34.368602740834348</v>
      </c>
      <c r="BH437" s="63">
        <f t="shared" si="404"/>
        <v>-52.574318259433888</v>
      </c>
      <c r="BI437" s="60" t="e">
        <f t="shared" si="409"/>
        <v>#NUM!</v>
      </c>
      <c r="BJ437" s="66" t="e">
        <f t="shared" si="405"/>
        <v>#NUM!</v>
      </c>
      <c r="BK437" s="63" t="e">
        <f t="shared" si="410"/>
        <v>#NUM!</v>
      </c>
      <c r="BL437" s="51">
        <f t="shared" si="406"/>
        <v>-34.368602740834348</v>
      </c>
      <c r="BM437" s="63">
        <f t="shared" si="407"/>
        <v>-52.574318259433888</v>
      </c>
    </row>
    <row r="438" spans="14:65" x14ac:dyDescent="0.3">
      <c r="N438" s="11">
        <v>20</v>
      </c>
      <c r="O438" s="52">
        <f t="shared" si="408"/>
        <v>158489.31924611164</v>
      </c>
      <c r="P438" s="50" t="str">
        <f t="shared" si="360"/>
        <v>23.3035714285714</v>
      </c>
      <c r="Q438" s="18" t="str">
        <f t="shared" si="361"/>
        <v>1+377.699451170733i</v>
      </c>
      <c r="R438" s="18">
        <f t="shared" si="372"/>
        <v>377.70077497229596</v>
      </c>
      <c r="S438" s="18">
        <f t="shared" si="373"/>
        <v>1.5681487252156483</v>
      </c>
      <c r="T438" s="18" t="str">
        <f t="shared" si="362"/>
        <v>1+1.76259743879675i</v>
      </c>
      <c r="U438" s="18">
        <f t="shared" si="374"/>
        <v>2.0265117150544336</v>
      </c>
      <c r="V438" s="18">
        <f t="shared" si="375"/>
        <v>1.0547343742498487</v>
      </c>
      <c r="W438" s="32" t="str">
        <f t="shared" si="363"/>
        <v>1-2.43422119607838i</v>
      </c>
      <c r="X438" s="18">
        <f t="shared" si="376"/>
        <v>2.6316217113098266</v>
      </c>
      <c r="Y438" s="18">
        <f t="shared" si="377"/>
        <v>-1.1810067060985165</v>
      </c>
      <c r="Z438" s="32" t="str">
        <f t="shared" si="364"/>
        <v>0.899524542739616+1.19470746455392i</v>
      </c>
      <c r="AA438" s="18">
        <f t="shared" si="378"/>
        <v>1.4954833094527571</v>
      </c>
      <c r="AB438" s="18">
        <f t="shared" si="379"/>
        <v>0.92542615194844402</v>
      </c>
      <c r="AC438" s="68" t="str">
        <f t="shared" si="380"/>
        <v>-0.190747985480032-0.109657545172308i</v>
      </c>
      <c r="AD438" s="66">
        <f t="shared" si="381"/>
        <v>-13.150687644133026</v>
      </c>
      <c r="AE438" s="63">
        <f t="shared" si="382"/>
        <v>-150.10618804555915</v>
      </c>
      <c r="AF438" s="51" t="e">
        <f t="shared" si="383"/>
        <v>#NUM!</v>
      </c>
      <c r="AG438" s="51" t="str">
        <f t="shared" si="365"/>
        <v>1-528.779231639027i</v>
      </c>
      <c r="AH438" s="51">
        <f t="shared" si="384"/>
        <v>528.78017721238359</v>
      </c>
      <c r="AI438" s="51">
        <f t="shared" si="385"/>
        <v>-1.5689051806453864</v>
      </c>
      <c r="AJ438" s="51" t="str">
        <f t="shared" si="366"/>
        <v>1+1.76259743879675i</v>
      </c>
      <c r="AK438" s="51">
        <f t="shared" si="386"/>
        <v>2.0265117150544336</v>
      </c>
      <c r="AL438" s="51">
        <f t="shared" si="387"/>
        <v>1.0547343742498487</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-0.000170731707317073</v>
      </c>
      <c r="AT438" s="32" t="str">
        <f t="shared" si="369"/>
        <v>0.0378410749572184i</v>
      </c>
      <c r="AU438" s="32">
        <f t="shared" si="393"/>
        <v>3.7841074957218397E-2</v>
      </c>
      <c r="AV438" s="32">
        <f t="shared" si="394"/>
        <v>1.5707963267948966</v>
      </c>
      <c r="AW438" s="32" t="str">
        <f t="shared" si="370"/>
        <v>1+8.05668980945097i</v>
      </c>
      <c r="AX438" s="32">
        <f t="shared" si="395"/>
        <v>8.1185128370725099</v>
      </c>
      <c r="AY438" s="32">
        <f t="shared" si="396"/>
        <v>1.4473074399318184</v>
      </c>
      <c r="AZ438" s="32" t="str">
        <f t="shared" si="371"/>
        <v>1+153.077106379569i</v>
      </c>
      <c r="BA438" s="32">
        <f t="shared" si="397"/>
        <v>153.08037267246863</v>
      </c>
      <c r="BB438" s="32">
        <f t="shared" si="398"/>
        <v>1.5642637642267962</v>
      </c>
      <c r="BC438" s="60" t="str">
        <f t="shared" si="399"/>
        <v>-0.00992720300836471+0.0844922044395113i</v>
      </c>
      <c r="BD438" s="51">
        <f t="shared" si="400"/>
        <v>-21.404125051396164</v>
      </c>
      <c r="BE438" s="63">
        <f t="shared" si="401"/>
        <v>96.70110376946559</v>
      </c>
      <c r="BF438" s="60" t="str">
        <f t="shared" si="402"/>
        <v>0.0111588017003305-0.0150281250732794i</v>
      </c>
      <c r="BG438" s="66">
        <f t="shared" si="403"/>
        <v>-34.554812695529172</v>
      </c>
      <c r="BH438" s="63">
        <f t="shared" si="404"/>
        <v>-53.405084276093547</v>
      </c>
      <c r="BI438" s="60" t="e">
        <f t="shared" si="409"/>
        <v>#NUM!</v>
      </c>
      <c r="BJ438" s="66" t="e">
        <f t="shared" si="405"/>
        <v>#NUM!</v>
      </c>
      <c r="BK438" s="63" t="e">
        <f t="shared" si="410"/>
        <v>#NUM!</v>
      </c>
      <c r="BL438" s="51">
        <f t="shared" si="406"/>
        <v>-34.554812695529172</v>
      </c>
      <c r="BM438" s="63">
        <f t="shared" si="407"/>
        <v>-53.405084276093547</v>
      </c>
    </row>
    <row r="439" spans="14:65" x14ac:dyDescent="0.3">
      <c r="N439" s="11">
        <v>21</v>
      </c>
      <c r="O439" s="52">
        <f t="shared" si="408"/>
        <v>162181.00973589328</v>
      </c>
      <c r="P439" s="50" t="str">
        <f t="shared" si="360"/>
        <v>23.3035714285714</v>
      </c>
      <c r="Q439" s="18" t="str">
        <f t="shared" si="361"/>
        <v>1+386.497201571296i</v>
      </c>
      <c r="R439" s="18">
        <f t="shared" si="372"/>
        <v>386.49849523955845</v>
      </c>
      <c r="S439" s="18">
        <f t="shared" si="373"/>
        <v>1.5682089917132991</v>
      </c>
      <c r="T439" s="18" t="str">
        <f t="shared" si="362"/>
        <v>1+1.80365360733272i</v>
      </c>
      <c r="U439" s="18">
        <f t="shared" si="374"/>
        <v>2.0623206189252761</v>
      </c>
      <c r="V439" s="18">
        <f t="shared" si="375"/>
        <v>1.0645581875548347</v>
      </c>
      <c r="W439" s="32" t="str">
        <f t="shared" si="363"/>
        <v>1-2.49092149160827i</v>
      </c>
      <c r="X439" s="18">
        <f t="shared" si="376"/>
        <v>2.6841553377843033</v>
      </c>
      <c r="Y439" s="18">
        <f t="shared" si="377"/>
        <v>-1.1890338099162836</v>
      </c>
      <c r="Z439" s="32" t="str">
        <f t="shared" si="364"/>
        <v>0.894789280324185+1.22253577630353i</v>
      </c>
      <c r="AA439" s="18">
        <f t="shared" si="378"/>
        <v>1.5150054721106283</v>
      </c>
      <c r="AB439" s="18">
        <f t="shared" si="379"/>
        <v>0.93897203624112957</v>
      </c>
      <c r="AC439" s="68" t="str">
        <f t="shared" si="380"/>
        <v>-0.192276839582479-0.107535571484411i</v>
      </c>
      <c r="AD439" s="66">
        <f t="shared" si="381"/>
        <v>-13.139513892405098</v>
      </c>
      <c r="AE439" s="63">
        <f t="shared" si="382"/>
        <v>-150.78281919063528</v>
      </c>
      <c r="AF439" s="51" t="e">
        <f t="shared" si="383"/>
        <v>#NUM!</v>
      </c>
      <c r="AG439" s="51" t="str">
        <f t="shared" si="365"/>
        <v>1-541.096082199816i</v>
      </c>
      <c r="AH439" s="51">
        <f t="shared" si="384"/>
        <v>541.09700624933237</v>
      </c>
      <c r="AI439" s="51">
        <f t="shared" si="385"/>
        <v>-1.5689482282881677</v>
      </c>
      <c r="AJ439" s="51" t="str">
        <f t="shared" si="366"/>
        <v>1+1.80365360733272i</v>
      </c>
      <c r="AK439" s="51">
        <f t="shared" si="386"/>
        <v>2.0623206189252761</v>
      </c>
      <c r="AL439" s="51">
        <f t="shared" si="387"/>
        <v>1.0645581875548347</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-0.000170731707317073</v>
      </c>
      <c r="AT439" s="32" t="str">
        <f t="shared" si="369"/>
        <v>0.0387225068240923i</v>
      </c>
      <c r="AU439" s="32">
        <f t="shared" si="393"/>
        <v>3.8722506824092298E-2</v>
      </c>
      <c r="AV439" s="32">
        <f t="shared" si="394"/>
        <v>1.5707963267948966</v>
      </c>
      <c r="AW439" s="32" t="str">
        <f t="shared" si="370"/>
        <v>1+8.24435422299092i</v>
      </c>
      <c r="AX439" s="32">
        <f t="shared" si="395"/>
        <v>8.3047803435219283</v>
      </c>
      <c r="AY439" s="32">
        <f t="shared" si="396"/>
        <v>1.4500908542367394</v>
      </c>
      <c r="AZ439" s="32" t="str">
        <f t="shared" si="371"/>
        <v>1+156.642730236828i</v>
      </c>
      <c r="BA439" s="32">
        <f t="shared" si="397"/>
        <v>156.64592218135672</v>
      </c>
      <c r="BB439" s="32">
        <f t="shared" si="398"/>
        <v>1.5644124594180726</v>
      </c>
      <c r="BC439" s="60" t="str">
        <f t="shared" si="399"/>
        <v>-0.00948688347756147+0.0826223356727077i</v>
      </c>
      <c r="BD439" s="51">
        <f t="shared" si="400"/>
        <v>-21.60116676025007</v>
      </c>
      <c r="BE439" s="63">
        <f t="shared" si="401"/>
        <v>96.550145484051313</v>
      </c>
      <c r="BF439" s="60" t="str">
        <f t="shared" si="402"/>
        <v>0.0107089480564942-0.0148661841457054i</v>
      </c>
      <c r="BG439" s="66">
        <f t="shared" si="403"/>
        <v>-34.740680652655158</v>
      </c>
      <c r="BH439" s="63">
        <f t="shared" si="404"/>
        <v>-54.232673706584073</v>
      </c>
      <c r="BI439" s="60" t="e">
        <f t="shared" si="409"/>
        <v>#NUM!</v>
      </c>
      <c r="BJ439" s="66" t="e">
        <f t="shared" si="405"/>
        <v>#NUM!</v>
      </c>
      <c r="BK439" s="63" t="e">
        <f t="shared" si="410"/>
        <v>#NUM!</v>
      </c>
      <c r="BL439" s="51">
        <f t="shared" si="406"/>
        <v>-34.740680652655158</v>
      </c>
      <c r="BM439" s="63">
        <f t="shared" si="407"/>
        <v>-54.232673706584073</v>
      </c>
    </row>
    <row r="440" spans="14:65" x14ac:dyDescent="0.3">
      <c r="N440" s="11">
        <v>22</v>
      </c>
      <c r="O440" s="52">
        <f t="shared" si="408"/>
        <v>165958.69074375604</v>
      </c>
      <c r="P440" s="50" t="str">
        <f t="shared" si="360"/>
        <v>23.3035714285714</v>
      </c>
      <c r="Q440" s="18" t="str">
        <f t="shared" si="361"/>
        <v>1+395.499877904031i</v>
      </c>
      <c r="R440" s="18">
        <f t="shared" si="372"/>
        <v>395.50114212490388</v>
      </c>
      <c r="S440" s="18">
        <f t="shared" si="373"/>
        <v>1.568267886396141</v>
      </c>
      <c r="T440" s="18" t="str">
        <f t="shared" si="362"/>
        <v>1+1.84566609688548i</v>
      </c>
      <c r="U440" s="18">
        <f t="shared" si="374"/>
        <v>2.0991625332957145</v>
      </c>
      <c r="V440" s="18">
        <f t="shared" si="375"/>
        <v>1.0742629069913794</v>
      </c>
      <c r="W440" s="32" t="str">
        <f t="shared" si="363"/>
        <v>1-2.54894250668427i</v>
      </c>
      <c r="X440" s="18">
        <f t="shared" si="376"/>
        <v>2.7380847142449571</v>
      </c>
      <c r="Y440" s="18">
        <f t="shared" si="377"/>
        <v>-1.1969285040252104</v>
      </c>
      <c r="Z440" s="32" t="str">
        <f t="shared" si="364"/>
        <v>0.889830851866473+1.25101229270391i</v>
      </c>
      <c r="AA440" s="18">
        <f t="shared" si="378"/>
        <v>1.5351972842047719</v>
      </c>
      <c r="AB440" s="18">
        <f t="shared" si="379"/>
        <v>0.95253419416085316</v>
      </c>
      <c r="AC440" s="68" t="str">
        <f t="shared" si="380"/>
        <v>-0.193791779926519-0.105397605135792i</v>
      </c>
      <c r="AD440" s="66">
        <f t="shared" si="381"/>
        <v>-13.127930074527871</v>
      </c>
      <c r="AE440" s="63">
        <f t="shared" si="382"/>
        <v>-151.45954120520378</v>
      </c>
      <c r="AF440" s="51" t="e">
        <f t="shared" si="383"/>
        <v>#NUM!</v>
      </c>
      <c r="AG440" s="51" t="str">
        <f t="shared" si="365"/>
        <v>1-553.699829065644i</v>
      </c>
      <c r="AH440" s="51">
        <f t="shared" si="384"/>
        <v>553.70073208126018</v>
      </c>
      <c r="AI440" s="51">
        <f t="shared" si="385"/>
        <v>-1.5689902960535864</v>
      </c>
      <c r="AJ440" s="51" t="str">
        <f t="shared" si="366"/>
        <v>1+1.84566609688548i</v>
      </c>
      <c r="AK440" s="51">
        <f t="shared" si="386"/>
        <v>2.0991625332957145</v>
      </c>
      <c r="AL440" s="51">
        <f t="shared" si="387"/>
        <v>1.0742629069913794</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-0.000170731707317073</v>
      </c>
      <c r="AT440" s="32" t="str">
        <f t="shared" si="369"/>
        <v>0.0396244698766373i</v>
      </c>
      <c r="AU440" s="32">
        <f t="shared" si="393"/>
        <v>3.96244698766373E-2</v>
      </c>
      <c r="AV440" s="32">
        <f t="shared" si="394"/>
        <v>1.5707963267948966</v>
      </c>
      <c r="AW440" s="32" t="str">
        <f t="shared" si="370"/>
        <v>1+8.43638990226687i</v>
      </c>
      <c r="AX440" s="32">
        <f t="shared" si="395"/>
        <v>8.4954502283910998</v>
      </c>
      <c r="AY440" s="32">
        <f t="shared" si="396"/>
        <v>1.4528127275793334</v>
      </c>
      <c r="AZ440" s="32" t="str">
        <f t="shared" si="371"/>
        <v>1+160.291408143071i</v>
      </c>
      <c r="BA440" s="32">
        <f t="shared" si="397"/>
        <v>160.2945274315021</v>
      </c>
      <c r="BB440" s="32">
        <f t="shared" si="398"/>
        <v>1.5645577701663498</v>
      </c>
      <c r="BC440" s="60" t="str">
        <f t="shared" si="399"/>
        <v>-0.00906581947626401+0.080791532149885i</v>
      </c>
      <c r="BD440" s="51">
        <f t="shared" si="400"/>
        <v>-21.798339721172731</v>
      </c>
      <c r="BE440" s="63">
        <f t="shared" si="401"/>
        <v>96.402519321745686</v>
      </c>
      <c r="BF440" s="60" t="str">
        <f t="shared" si="402"/>
        <v>0.0102721152966469-0.0147012191569252i</v>
      </c>
      <c r="BG440" s="66">
        <f t="shared" si="403"/>
        <v>-34.926269795700591</v>
      </c>
      <c r="BH440" s="63">
        <f t="shared" si="404"/>
        <v>-55.057021883458269</v>
      </c>
      <c r="BI440" s="60" t="e">
        <f t="shared" si="409"/>
        <v>#NUM!</v>
      </c>
      <c r="BJ440" s="66" t="e">
        <f t="shared" si="405"/>
        <v>#NUM!</v>
      </c>
      <c r="BK440" s="63" t="e">
        <f t="shared" si="410"/>
        <v>#NUM!</v>
      </c>
      <c r="BL440" s="51">
        <f t="shared" si="406"/>
        <v>-34.926269795700591</v>
      </c>
      <c r="BM440" s="63">
        <f t="shared" si="407"/>
        <v>-55.057021883458269</v>
      </c>
    </row>
    <row r="441" spans="14:65" x14ac:dyDescent="0.3">
      <c r="N441" s="11">
        <v>23</v>
      </c>
      <c r="O441" s="52">
        <f t="shared" si="408"/>
        <v>169824.36524617471</v>
      </c>
      <c r="P441" s="50" t="str">
        <f t="shared" si="360"/>
        <v>23.3035714285714</v>
      </c>
      <c r="Q441" s="18" t="str">
        <f t="shared" si="361"/>
        <v>1+404.712253507087i</v>
      </c>
      <c r="R441" s="18">
        <f t="shared" si="372"/>
        <v>404.71348895086834</v>
      </c>
      <c r="S441" s="18">
        <f t="shared" si="373"/>
        <v>1.5683254404892795</v>
      </c>
      <c r="T441" s="18" t="str">
        <f t="shared" si="362"/>
        <v>1+1.88865718303307i</v>
      </c>
      <c r="U441" s="18">
        <f t="shared" si="374"/>
        <v>2.1370601196556009</v>
      </c>
      <c r="V441" s="18">
        <f t="shared" si="375"/>
        <v>1.083846365327622</v>
      </c>
      <c r="W441" s="32" t="str">
        <f t="shared" si="363"/>
        <v>1-2.60831500481655i</v>
      </c>
      <c r="X441" s="18">
        <f t="shared" si="376"/>
        <v>2.7934400234032517</v>
      </c>
      <c r="Y441" s="18">
        <f t="shared" si="377"/>
        <v>-1.2046910368926049</v>
      </c>
      <c r="Z441" s="32" t="str">
        <f t="shared" si="364"/>
        <v>0.884638739874936+1.28015211238099i</v>
      </c>
      <c r="AA441" s="18">
        <f t="shared" si="378"/>
        <v>1.5560768396583202</v>
      </c>
      <c r="AB441" s="18">
        <f t="shared" si="379"/>
        <v>0.96610785008636557</v>
      </c>
      <c r="AC441" s="68" t="str">
        <f t="shared" si="380"/>
        <v>-0.195290995727579-0.103243245275907i</v>
      </c>
      <c r="AD441" s="66">
        <f t="shared" si="381"/>
        <v>-13.116002849857322</v>
      </c>
      <c r="AE441" s="63">
        <f t="shared" si="382"/>
        <v>-152.13622066475602</v>
      </c>
      <c r="AF441" s="51" t="e">
        <f t="shared" si="383"/>
        <v>#NUM!</v>
      </c>
      <c r="AG441" s="51" t="str">
        <f t="shared" si="365"/>
        <v>1-566.597154909923i</v>
      </c>
      <c r="AH441" s="51">
        <f t="shared" si="384"/>
        <v>566.5980373704266</v>
      </c>
      <c r="AI441" s="51">
        <f t="shared" si="385"/>
        <v>-1.5690314062459327</v>
      </c>
      <c r="AJ441" s="51" t="str">
        <f t="shared" si="366"/>
        <v>1+1.88865718303307i</v>
      </c>
      <c r="AK441" s="51">
        <f t="shared" si="386"/>
        <v>2.1370601196556009</v>
      </c>
      <c r="AL441" s="51">
        <f t="shared" si="387"/>
        <v>1.083846365327622</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-0.000170731707317073</v>
      </c>
      <c r="AT441" s="32" t="str">
        <f t="shared" si="369"/>
        <v>0.0405474423476029i</v>
      </c>
      <c r="AU441" s="32">
        <f t="shared" si="393"/>
        <v>4.0547442347602901E-2</v>
      </c>
      <c r="AV441" s="32">
        <f t="shared" si="394"/>
        <v>1.5707963267948966</v>
      </c>
      <c r="AW441" s="32" t="str">
        <f t="shared" si="370"/>
        <v>1+8.63289866713778i</v>
      </c>
      <c r="AX441" s="32">
        <f t="shared" si="395"/>
        <v>8.6906236483390114</v>
      </c>
      <c r="AY441" s="32">
        <f t="shared" si="396"/>
        <v>1.4554743417241283</v>
      </c>
      <c r="AZ441" s="32" t="str">
        <f t="shared" si="371"/>
        <v>1+164.025074675618i</v>
      </c>
      <c r="BA441" s="32">
        <f t="shared" si="397"/>
        <v>164.02812296171061</v>
      </c>
      <c r="BB441" s="32">
        <f t="shared" si="398"/>
        <v>1.5646997734927495</v>
      </c>
      <c r="BC441" s="60" t="str">
        <f t="shared" si="399"/>
        <v>-0.00866319281719298+0.0789991309956079i</v>
      </c>
      <c r="BD441" s="51">
        <f t="shared" si="400"/>
        <v>-21.995638191151411</v>
      </c>
      <c r="BE441" s="63">
        <f t="shared" si="401"/>
        <v>96.258156255836141</v>
      </c>
      <c r="BF441" s="60" t="str">
        <f t="shared" si="402"/>
        <v>0.00984797020941268-0.0145334028128478i</v>
      </c>
      <c r="BG441" s="66">
        <f t="shared" si="403"/>
        <v>-35.111641041008724</v>
      </c>
      <c r="BH441" s="63">
        <f t="shared" si="404"/>
        <v>-55.878064408919919</v>
      </c>
      <c r="BI441" s="60" t="e">
        <f t="shared" si="409"/>
        <v>#NUM!</v>
      </c>
      <c r="BJ441" s="66" t="e">
        <f t="shared" si="405"/>
        <v>#NUM!</v>
      </c>
      <c r="BK441" s="63" t="e">
        <f t="shared" si="410"/>
        <v>#NUM!</v>
      </c>
      <c r="BL441" s="51">
        <f t="shared" si="406"/>
        <v>-35.111641041008724</v>
      </c>
      <c r="BM441" s="63">
        <f t="shared" si="407"/>
        <v>-55.878064408919919</v>
      </c>
    </row>
    <row r="442" spans="14:65" x14ac:dyDescent="0.3">
      <c r="N442" s="11">
        <v>24</v>
      </c>
      <c r="O442" s="52">
        <f t="shared" si="408"/>
        <v>173780.0828749378</v>
      </c>
      <c r="P442" s="50" t="str">
        <f t="shared" si="360"/>
        <v>23.3035714285714</v>
      </c>
      <c r="Q442" s="18" t="str">
        <f t="shared" si="361"/>
        <v>1+414.139212903956i</v>
      </c>
      <c r="R442" s="18">
        <f t="shared" si="372"/>
        <v>414.14042022568651</v>
      </c>
      <c r="S442" s="18">
        <f t="shared" si="373"/>
        <v>1.5683816845071303</v>
      </c>
      <c r="T442" s="18" t="str">
        <f t="shared" si="362"/>
        <v>1+1.93264966021846i</v>
      </c>
      <c r="U442" s="18">
        <f t="shared" si="374"/>
        <v>2.1760364677878283</v>
      </c>
      <c r="V442" s="18">
        <f t="shared" si="375"/>
        <v>1.0933066016660682</v>
      </c>
      <c r="W442" s="32" t="str">
        <f t="shared" si="363"/>
        <v>1-2.66907046608953i</v>
      </c>
      <c r="X442" s="18">
        <f t="shared" si="376"/>
        <v>2.8502521209449845</v>
      </c>
      <c r="Y442" s="18">
        <f t="shared" si="377"/>
        <v>-1.2123217813240841</v>
      </c>
      <c r="Z442" s="32" t="str">
        <f t="shared" si="364"/>
        <v>0.879201931183919+1.30997068565288i</v>
      </c>
      <c r="AA442" s="18">
        <f t="shared" si="378"/>
        <v>1.5776625853037809</v>
      </c>
      <c r="AB442" s="18">
        <f t="shared" si="379"/>
        <v>0.97968834624032319</v>
      </c>
      <c r="AC442" s="68" t="str">
        <f t="shared" si="380"/>
        <v>-0.196772710094495-0.101072193266937i</v>
      </c>
      <c r="AD442" s="66">
        <f t="shared" si="381"/>
        <v>-13.103796291060764</v>
      </c>
      <c r="AE442" s="63">
        <f t="shared" si="382"/>
        <v>-152.81272615799472</v>
      </c>
      <c r="AF442" s="51" t="e">
        <f t="shared" si="383"/>
        <v>#NUM!</v>
      </c>
      <c r="AG442" s="51" t="str">
        <f t="shared" si="365"/>
        <v>1-579.79489806554i</v>
      </c>
      <c r="AH442" s="51">
        <f t="shared" si="384"/>
        <v>579.79576043882025</v>
      </c>
      <c r="AI442" s="51">
        <f t="shared" si="385"/>
        <v>-1.569071580661819</v>
      </c>
      <c r="AJ442" s="51" t="str">
        <f t="shared" si="366"/>
        <v>1+1.93264966021846i</v>
      </c>
      <c r="AK442" s="51">
        <f t="shared" si="386"/>
        <v>2.1760364677878283</v>
      </c>
      <c r="AL442" s="51">
        <f t="shared" si="387"/>
        <v>1.0933066016660682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-0.000170731707317073</v>
      </c>
      <c r="AT442" s="32" t="str">
        <f t="shared" si="369"/>
        <v>0.0414919136092099i</v>
      </c>
      <c r="AU442" s="32">
        <f t="shared" si="393"/>
        <v>4.1491913609209903E-2</v>
      </c>
      <c r="AV442" s="32">
        <f t="shared" si="394"/>
        <v>1.5707963267948966</v>
      </c>
      <c r="AW442" s="32" t="str">
        <f t="shared" si="370"/>
        <v>1+8.83398470915199i</v>
      </c>
      <c r="AX442" s="32">
        <f t="shared" si="395"/>
        <v>8.8904041438807013</v>
      </c>
      <c r="AY442" s="32">
        <f t="shared" si="396"/>
        <v>1.458076956969824</v>
      </c>
      <c r="AZ442" s="32" t="str">
        <f t="shared" si="371"/>
        <v>1+167.845709473888i</v>
      </c>
      <c r="BA442" s="32">
        <f t="shared" si="397"/>
        <v>167.84868837376362</v>
      </c>
      <c r="BB442" s="32">
        <f t="shared" si="398"/>
        <v>1.5648385446663939</v>
      </c>
      <c r="BC442" s="60" t="str">
        <f t="shared" si="399"/>
        <v>-0.00827821800162899+0.0772444700731315i</v>
      </c>
      <c r="BD442" s="51">
        <f t="shared" si="400"/>
        <v>-22.193056671482072</v>
      </c>
      <c r="BE442" s="63">
        <f t="shared" si="401"/>
        <v>96.11698838912929</v>
      </c>
      <c r="BF442" s="60" t="str">
        <f t="shared" si="402"/>
        <v>0.00943619539896725-0.0143629060663367i</v>
      </c>
      <c r="BG442" s="66">
        <f t="shared" si="403"/>
        <v>-35.296852962542843</v>
      </c>
      <c r="BH442" s="63">
        <f t="shared" si="404"/>
        <v>-56.695737768865399</v>
      </c>
      <c r="BI442" s="60" t="e">
        <f t="shared" si="409"/>
        <v>#NUM!</v>
      </c>
      <c r="BJ442" s="66" t="e">
        <f t="shared" si="405"/>
        <v>#NUM!</v>
      </c>
      <c r="BK442" s="63" t="e">
        <f t="shared" si="410"/>
        <v>#NUM!</v>
      </c>
      <c r="BL442" s="51">
        <f t="shared" si="406"/>
        <v>-35.296852962542843</v>
      </c>
      <c r="BM442" s="63">
        <f t="shared" si="407"/>
        <v>-56.695737768865399</v>
      </c>
    </row>
    <row r="443" spans="14:65" x14ac:dyDescent="0.3">
      <c r="N443" s="11">
        <v>25</v>
      </c>
      <c r="O443" s="52">
        <f t="shared" si="408"/>
        <v>177827.94100389251</v>
      </c>
      <c r="P443" s="50" t="str">
        <f t="shared" si="360"/>
        <v>23.3035714285714</v>
      </c>
      <c r="Q443" s="18" t="str">
        <f t="shared" si="361"/>
        <v>1+423.785754393287i</v>
      </c>
      <c r="R443" s="18">
        <f t="shared" si="372"/>
        <v>423.7869342330971</v>
      </c>
      <c r="S443" s="18">
        <f t="shared" si="373"/>
        <v>1.5684366482695924</v>
      </c>
      <c r="T443" s="18" t="str">
        <f t="shared" si="362"/>
        <v>1+1.97766685383534i</v>
      </c>
      <c r="U443" s="18">
        <f t="shared" si="374"/>
        <v>2.2161151108999215</v>
      </c>
      <c r="V443" s="18">
        <f t="shared" si="375"/>
        <v>1.1026418578582631</v>
      </c>
      <c r="W443" s="32" t="str">
        <f t="shared" si="363"/>
        <v>1-2.73124110385295i</v>
      </c>
      <c r="X443" s="18">
        <f t="shared" si="376"/>
        <v>2.9085525553745599</v>
      </c>
      <c r="Y443" s="18">
        <f t="shared" si="377"/>
        <v>-1.2198212276349398</v>
      </c>
      <c r="Z443" s="32" t="str">
        <f t="shared" si="364"/>
        <v>0.873508893593263+1.34048382272181i</v>
      </c>
      <c r="AA443" s="18">
        <f t="shared" si="378"/>
        <v>1.5999733329544603</v>
      </c>
      <c r="AB443" s="18">
        <f t="shared" si="379"/>
        <v>0.9932711567403566</v>
      </c>
      <c r="AC443" s="68" t="str">
        <f t="shared" si="380"/>
        <v>-0.198235185626548-0.0988842484713432i</v>
      </c>
      <c r="AD443" s="66">
        <f t="shared" si="381"/>
        <v>-13.091371836136867</v>
      </c>
      <c r="AE443" s="63">
        <f t="shared" si="382"/>
        <v>-153.48892890699858</v>
      </c>
      <c r="AF443" s="51" t="e">
        <f t="shared" si="383"/>
        <v>#NUM!</v>
      </c>
      <c r="AG443" s="51" t="str">
        <f t="shared" si="365"/>
        <v>1-593.300056150603i</v>
      </c>
      <c r="AH443" s="51">
        <f t="shared" si="384"/>
        <v>593.3008988938991</v>
      </c>
      <c r="AI443" s="51">
        <f t="shared" si="385"/>
        <v>-1.5691108406017327</v>
      </c>
      <c r="AJ443" s="51" t="str">
        <f t="shared" si="366"/>
        <v>1+1.97766685383534i</v>
      </c>
      <c r="AK443" s="51">
        <f t="shared" si="386"/>
        <v>2.2161151108999215</v>
      </c>
      <c r="AL443" s="51">
        <f t="shared" si="387"/>
        <v>1.1026418578582631</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-0.000170731707317073</v>
      </c>
      <c r="AT443" s="32" t="str">
        <f t="shared" si="369"/>
        <v>0.0424583844326229i</v>
      </c>
      <c r="AU443" s="32">
        <f t="shared" si="393"/>
        <v>4.2458384432622898E-2</v>
      </c>
      <c r="AV443" s="32">
        <f t="shared" si="394"/>
        <v>1.5707963267948966</v>
      </c>
      <c r="AW443" s="32" t="str">
        <f t="shared" si="370"/>
        <v>1+9.0397546467906i</v>
      </c>
      <c r="AX443" s="32">
        <f t="shared" si="395"/>
        <v>9.0948976945412774</v>
      </c>
      <c r="AY443" s="32">
        <f t="shared" si="396"/>
        <v>1.4606218121485055</v>
      </c>
      <c r="AZ443" s="32" t="str">
        <f t="shared" si="371"/>
        <v>1+171.755338289022i</v>
      </c>
      <c r="BA443" s="32">
        <f t="shared" si="397"/>
        <v>171.75824938202061</v>
      </c>
      <c r="BB443" s="32">
        <f t="shared" si="398"/>
        <v>1.5649741572442053</v>
      </c>
      <c r="BC443" s="60" t="str">
        <f t="shared" si="399"/>
        <v>-0.00791014109601912+0.0755268888454404i</v>
      </c>
      <c r="BD443" s="51">
        <f t="shared" si="400"/>
        <v>-22.390589897983926</v>
      </c>
      <c r="BE443" s="63">
        <f t="shared" si="401"/>
        <v>95.978948956276284</v>
      </c>
      <c r="BF443" s="60" t="str">
        <f t="shared" si="402"/>
        <v>0.00903648793136158-0.0141898984724894i</v>
      </c>
      <c r="BG443" s="66">
        <f t="shared" si="403"/>
        <v>-35.481961734120787</v>
      </c>
      <c r="BH443" s="63">
        <f t="shared" si="404"/>
        <v>-57.509979950722311</v>
      </c>
      <c r="BI443" s="60" t="e">
        <f t="shared" si="409"/>
        <v>#NUM!</v>
      </c>
      <c r="BJ443" s="66" t="e">
        <f t="shared" si="405"/>
        <v>#NUM!</v>
      </c>
      <c r="BK443" s="63" t="e">
        <f t="shared" si="410"/>
        <v>#NUM!</v>
      </c>
      <c r="BL443" s="51">
        <f t="shared" si="406"/>
        <v>-35.481961734120787</v>
      </c>
      <c r="BM443" s="63">
        <f t="shared" si="407"/>
        <v>-57.509979950722311</v>
      </c>
    </row>
    <row r="444" spans="14:65" x14ac:dyDescent="0.3">
      <c r="N444" s="11">
        <v>26</v>
      </c>
      <c r="O444" s="52">
        <f t="shared" si="408"/>
        <v>181970.08586099857</v>
      </c>
      <c r="P444" s="50" t="str">
        <f t="shared" si="360"/>
        <v>23.3035714285714</v>
      </c>
      <c r="Q444" s="18" t="str">
        <f t="shared" si="361"/>
        <v>1+433.65699269906i</v>
      </c>
      <c r="R444" s="18">
        <f t="shared" si="372"/>
        <v>433.65814568250943</v>
      </c>
      <c r="S444" s="18">
        <f t="shared" si="373"/>
        <v>1.5684903609178504</v>
      </c>
      <c r="T444" s="18" t="str">
        <f t="shared" si="362"/>
        <v>1+2.02373263259561i</v>
      </c>
      <c r="U444" s="18">
        <f t="shared" si="374"/>
        <v>2.2573200411621652</v>
      </c>
      <c r="V444" s="18">
        <f t="shared" si="375"/>
        <v>1.1118505743615141</v>
      </c>
      <c r="W444" s="32" t="str">
        <f t="shared" si="363"/>
        <v>1-2.79485988180185i</v>
      </c>
      <c r="X444" s="18">
        <f t="shared" si="376"/>
        <v>2.9683735881632973</v>
      </c>
      <c r="Y444" s="18">
        <f t="shared" si="377"/>
        <v>-1.2271899768892349</v>
      </c>
      <c r="Z444" s="32" t="str">
        <f t="shared" si="364"/>
        <v>0.867547551406964+1.37170770205693i</v>
      </c>
      <c r="AA444" s="18">
        <f t="shared" si="378"/>
        <v>1.6230282726540908</v>
      </c>
      <c r="AB444" s="18">
        <f t="shared" si="379"/>
        <v>1.0068519009516403</v>
      </c>
      <c r="AC444" s="68" t="str">
        <f t="shared" si="380"/>
        <v>-0.199676729578034-0.096679303608759i</v>
      </c>
      <c r="AD444" s="66">
        <f t="shared" si="381"/>
        <v>-13.0787882570829</v>
      </c>
      <c r="AE444" s="63">
        <f t="shared" si="382"/>
        <v>-154.16470338319601</v>
      </c>
      <c r="AF444" s="51" t="e">
        <f t="shared" si="383"/>
        <v>#NUM!</v>
      </c>
      <c r="AG444" s="51" t="str">
        <f t="shared" si="365"/>
        <v>1-607.119789778685i</v>
      </c>
      <c r="AH444" s="51">
        <f t="shared" si="384"/>
        <v>607.12061333882798</v>
      </c>
      <c r="AI444" s="51">
        <f t="shared" si="385"/>
        <v>-1.5691492068813295</v>
      </c>
      <c r="AJ444" s="51" t="str">
        <f t="shared" si="366"/>
        <v>1+2.02373263259561i</v>
      </c>
      <c r="AK444" s="51">
        <f t="shared" si="386"/>
        <v>2.2573200411621652</v>
      </c>
      <c r="AL444" s="51">
        <f t="shared" si="387"/>
        <v>1.1118505743615141</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-0.000170731707317073</v>
      </c>
      <c r="AT444" s="32" t="str">
        <f t="shared" si="369"/>
        <v>0.0434473672534653i</v>
      </c>
      <c r="AU444" s="32">
        <f t="shared" si="393"/>
        <v>4.3447367253465298E-2</v>
      </c>
      <c r="AV444" s="32">
        <f t="shared" si="394"/>
        <v>1.5707963267948966</v>
      </c>
      <c r="AW444" s="32" t="str">
        <f t="shared" si="370"/>
        <v>1+9.25031758199813i</v>
      </c>
      <c r="AX444" s="32">
        <f t="shared" si="395"/>
        <v>9.3042127752875334</v>
      </c>
      <c r="AY444" s="32">
        <f t="shared" si="396"/>
        <v>1.4631101246548801</v>
      </c>
      <c r="AZ444" s="32" t="str">
        <f t="shared" si="371"/>
        <v>1+175.756034057965i</v>
      </c>
      <c r="BA444" s="32">
        <f t="shared" si="397"/>
        <v>175.75887888748196</v>
      </c>
      <c r="BB444" s="32">
        <f t="shared" si="398"/>
        <v>1.5651066831098033</v>
      </c>
      <c r="BC444" s="60" t="str">
        <f t="shared" si="399"/>
        <v>-0.00755823863055258+0.0738457291664266i</v>
      </c>
      <c r="BD444" s="51">
        <f t="shared" si="400"/>
        <v>-22.588232831552688</v>
      </c>
      <c r="BE444" s="63">
        <f t="shared" si="401"/>
        <v>95.843972324326487</v>
      </c>
      <c r="BF444" s="60" t="str">
        <f t="shared" si="402"/>
        <v>0.00864855804141024-0.0140145484459467i</v>
      </c>
      <c r="BG444" s="66">
        <f t="shared" si="403"/>
        <v>-35.667021088635572</v>
      </c>
      <c r="BH444" s="63">
        <f t="shared" si="404"/>
        <v>-58.320731058869612</v>
      </c>
      <c r="BI444" s="60" t="e">
        <f t="shared" si="409"/>
        <v>#NUM!</v>
      </c>
      <c r="BJ444" s="66" t="e">
        <f t="shared" si="405"/>
        <v>#NUM!</v>
      </c>
      <c r="BK444" s="63" t="e">
        <f t="shared" si="410"/>
        <v>#NUM!</v>
      </c>
      <c r="BL444" s="51">
        <f t="shared" si="406"/>
        <v>-35.667021088635572</v>
      </c>
      <c r="BM444" s="63">
        <f t="shared" si="407"/>
        <v>-58.320731058869612</v>
      </c>
    </row>
    <row r="445" spans="14:65" x14ac:dyDescent="0.3">
      <c r="N445" s="11">
        <v>27</v>
      </c>
      <c r="O445" s="52">
        <f t="shared" si="408"/>
        <v>186208.71366628664</v>
      </c>
      <c r="P445" s="50" t="str">
        <f t="shared" si="360"/>
        <v>23.3035714285714</v>
      </c>
      <c r="Q445" s="18" t="str">
        <f t="shared" si="361"/>
        <v>1+443.758161682494i</v>
      </c>
      <c r="R445" s="18">
        <f t="shared" si="372"/>
        <v>443.75928842090337</v>
      </c>
      <c r="S445" s="18">
        <f t="shared" si="373"/>
        <v>1.5685428509298216</v>
      </c>
      <c r="T445" s="18" t="str">
        <f t="shared" si="362"/>
        <v>1+2.07087142118497i</v>
      </c>
      <c r="U445" s="18">
        <f t="shared" si="374"/>
        <v>2.2996757256362592</v>
      </c>
      <c r="V445" s="18">
        <f t="shared" si="375"/>
        <v>1.12093138559306</v>
      </c>
      <c r="W445" s="32" t="str">
        <f t="shared" si="363"/>
        <v>1-2.85996053145445i</v>
      </c>
      <c r="X445" s="18">
        <f t="shared" si="376"/>
        <v>3.0297482142048078</v>
      </c>
      <c r="Y445" s="18">
        <f t="shared" si="377"/>
        <v>-1.234428734231791</v>
      </c>
      <c r="Z445" s="32" t="str">
        <f t="shared" si="364"/>
        <v>0.861305259818988+1.4036588789724i</v>
      </c>
      <c r="AA445" s="18">
        <f t="shared" si="378"/>
        <v>1.6468469871575528</v>
      </c>
      <c r="AB445" s="18">
        <f t="shared" si="379"/>
        <v>1.0204263560695208</v>
      </c>
      <c r="AC445" s="68" t="str">
        <f t="shared" si="380"/>
        <v>-0.201095698551834-0.0944573397327793i</v>
      </c>
      <c r="AD445" s="66">
        <f t="shared" si="381"/>
        <v>-13.066101644610322</v>
      </c>
      <c r="AE445" s="63">
        <f t="shared" si="382"/>
        <v>-154.83992791331815</v>
      </c>
      <c r="AF445" s="51" t="e">
        <f t="shared" si="383"/>
        <v>#NUM!</v>
      </c>
      <c r="AG445" s="51" t="str">
        <f t="shared" si="365"/>
        <v>1-621.261426355493i</v>
      </c>
      <c r="AH445" s="51">
        <f t="shared" si="384"/>
        <v>621.26223116914298</v>
      </c>
      <c r="AI445" s="51">
        <f t="shared" si="385"/>
        <v>-1.5691866998424666</v>
      </c>
      <c r="AJ445" s="51" t="str">
        <f t="shared" si="366"/>
        <v>1+2.07087142118497i</v>
      </c>
      <c r="AK445" s="51">
        <f t="shared" si="386"/>
        <v>2.2996757256362592</v>
      </c>
      <c r="AL445" s="51">
        <f t="shared" si="387"/>
        <v>1.12093138559306</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-0.000170731707317073</v>
      </c>
      <c r="AT445" s="32" t="str">
        <f t="shared" si="369"/>
        <v>0.0444593864435193i</v>
      </c>
      <c r="AU445" s="32">
        <f t="shared" si="393"/>
        <v>4.4459386443519301E-2</v>
      </c>
      <c r="AV445" s="32">
        <f t="shared" si="394"/>
        <v>1.5707963267948966</v>
      </c>
      <c r="AW445" s="32" t="str">
        <f t="shared" si="370"/>
        <v>1+9.46578515803013i</v>
      </c>
      <c r="AX445" s="32">
        <f t="shared" si="395"/>
        <v>9.5184604142678175</v>
      </c>
      <c r="AY445" s="32">
        <f t="shared" si="396"/>
        <v>1.4655430905031268</v>
      </c>
      <c r="AZ445" s="32" t="str">
        <f t="shared" si="371"/>
        <v>1+179.849918002573i</v>
      </c>
      <c r="BA445" s="32">
        <f t="shared" si="397"/>
        <v>179.85269807687689</v>
      </c>
      <c r="BB445" s="32">
        <f t="shared" si="398"/>
        <v>1.565236192511525</v>
      </c>
      <c r="BC445" s="60" t="str">
        <f t="shared" si="399"/>
        <v>-0.00722181652098292+0.0722003360063016i</v>
      </c>
      <c r="BD445" s="51">
        <f t="shared" si="400"/>
        <v>-22.785980649045143</v>
      </c>
      <c r="BE445" s="63">
        <f t="shared" si="401"/>
        <v>95.711993991648413</v>
      </c>
      <c r="BF445" s="60" t="str">
        <f t="shared" si="402"/>
        <v>0.00827212790506828-0.0138370234282541i</v>
      </c>
      <c r="BG445" s="66">
        <f t="shared" si="403"/>
        <v>-35.852082293655457</v>
      </c>
      <c r="BH445" s="63">
        <f t="shared" si="404"/>
        <v>-59.127933921669793</v>
      </c>
      <c r="BI445" s="60" t="e">
        <f t="shared" si="409"/>
        <v>#NUM!</v>
      </c>
      <c r="BJ445" s="66" t="e">
        <f t="shared" si="405"/>
        <v>#NUM!</v>
      </c>
      <c r="BK445" s="63" t="e">
        <f t="shared" si="410"/>
        <v>#NUM!</v>
      </c>
      <c r="BL445" s="51">
        <f t="shared" si="406"/>
        <v>-35.852082293655457</v>
      </c>
      <c r="BM445" s="63">
        <f t="shared" si="407"/>
        <v>-59.127933921669793</v>
      </c>
    </row>
    <row r="446" spans="14:65" x14ac:dyDescent="0.3">
      <c r="N446" s="11">
        <v>28</v>
      </c>
      <c r="O446" s="52">
        <f t="shared" si="408"/>
        <v>190546.07179632492</v>
      </c>
      <c r="P446" s="50" t="str">
        <f t="shared" si="360"/>
        <v>23.3035714285714</v>
      </c>
      <c r="Q446" s="18" t="str">
        <f t="shared" si="361"/>
        <v>1+454.09461711709i</v>
      </c>
      <c r="R446" s="18">
        <f t="shared" si="372"/>
        <v>454.09571820786482</v>
      </c>
      <c r="S446" s="18">
        <f t="shared" si="373"/>
        <v>1.5685941461352471</v>
      </c>
      <c r="T446" s="18" t="str">
        <f t="shared" si="362"/>
        <v>1+2.11910821321309i</v>
      </c>
      <c r="U446" s="18">
        <f t="shared" si="374"/>
        <v>2.3432071225794737</v>
      </c>
      <c r="V446" s="18">
        <f t="shared" si="375"/>
        <v>1.1298831148368855</v>
      </c>
      <c r="W446" s="32" t="str">
        <f t="shared" si="363"/>
        <v>1-2.9265775700369i</v>
      </c>
      <c r="X446" s="18">
        <f t="shared" si="376"/>
        <v>3.0927101825814658</v>
      </c>
      <c r="Y446" s="18">
        <f t="shared" si="377"/>
        <v>-1.2415383023354241</v>
      </c>
      <c r="Z446" s="32" t="str">
        <f t="shared" si="364"/>
        <v>0.854768778091957+1.43635429440512i</v>
      </c>
      <c r="AA446" s="18">
        <f t="shared" si="378"/>
        <v>1.6714494676946854</v>
      </c>
      <c r="AB446" s="18">
        <f t="shared" si="379"/>
        <v>1.0339904688688575</v>
      </c>
      <c r="AC446" s="68" t="str">
        <f t="shared" si="380"/>
        <v>-0.202490502689858-0.0922184208816107i</v>
      </c>
      <c r="AD446" s="66">
        <f t="shared" si="381"/>
        <v>-13.053365408208029</v>
      </c>
      <c r="AE446" s="63">
        <f t="shared" si="382"/>
        <v>-155.51448526982361</v>
      </c>
      <c r="AF446" s="51" t="e">
        <f t="shared" si="383"/>
        <v>#NUM!</v>
      </c>
      <c r="AG446" s="51" t="str">
        <f t="shared" si="365"/>
        <v>1-635.732463963927i</v>
      </c>
      <c r="AH446" s="51">
        <f t="shared" si="384"/>
        <v>635.73325045780462</v>
      </c>
      <c r="AI446" s="51">
        <f t="shared" si="385"/>
        <v>-1.5692233393639865</v>
      </c>
      <c r="AJ446" s="51" t="str">
        <f t="shared" si="366"/>
        <v>1+2.11910821321309i</v>
      </c>
      <c r="AK446" s="51">
        <f t="shared" si="386"/>
        <v>2.3432071225794737</v>
      </c>
      <c r="AL446" s="51">
        <f t="shared" si="387"/>
        <v>1.1298831148368855</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-0.000170731707317073</v>
      </c>
      <c r="AT446" s="32" t="str">
        <f t="shared" si="369"/>
        <v>0.0454949785887553i</v>
      </c>
      <c r="AU446" s="32">
        <f t="shared" si="393"/>
        <v>4.54949785887553E-2</v>
      </c>
      <c r="AV446" s="32">
        <f t="shared" si="394"/>
        <v>1.5707963267948966</v>
      </c>
      <c r="AW446" s="32" t="str">
        <f t="shared" si="370"/>
        <v>1+9.68627161864748i</v>
      </c>
      <c r="AX446" s="32">
        <f t="shared" si="395"/>
        <v>9.7377542518907134</v>
      </c>
      <c r="AY446" s="32">
        <f t="shared" si="396"/>
        <v>1.4679218844090842</v>
      </c>
      <c r="AZ446" s="32" t="str">
        <f t="shared" si="371"/>
        <v>1+184.039160754303i</v>
      </c>
      <c r="BA446" s="32">
        <f t="shared" si="397"/>
        <v>184.04187754733482</v>
      </c>
      <c r="BB446" s="32">
        <f t="shared" si="398"/>
        <v>1.5653627540995818</v>
      </c>
      <c r="BC446" s="60" t="str">
        <f t="shared" si="399"/>
        <v>-0.00690020901474825+0.0705900581151527i</v>
      </c>
      <c r="BD446" s="51">
        <f t="shared" si="400"/>
        <v>-22.983828734488579</v>
      </c>
      <c r="BE446" s="63">
        <f t="shared" si="401"/>
        <v>95.582950585349735</v>
      </c>
      <c r="BF446" s="60" t="str">
        <f t="shared" si="402"/>
        <v>0.00790693048138197-0.0136574899735504i</v>
      </c>
      <c r="BG446" s="66">
        <f t="shared" si="403"/>
        <v>-36.03719414269662</v>
      </c>
      <c r="BH446" s="63">
        <f t="shared" si="404"/>
        <v>-59.93153468447386</v>
      </c>
      <c r="BI446" s="60" t="e">
        <f t="shared" si="409"/>
        <v>#NUM!</v>
      </c>
      <c r="BJ446" s="66" t="e">
        <f t="shared" si="405"/>
        <v>#NUM!</v>
      </c>
      <c r="BK446" s="63" t="e">
        <f t="shared" si="410"/>
        <v>#NUM!</v>
      </c>
      <c r="BL446" s="51">
        <f t="shared" si="406"/>
        <v>-36.03719414269662</v>
      </c>
      <c r="BM446" s="63">
        <f t="shared" si="407"/>
        <v>-59.93153468447386</v>
      </c>
    </row>
    <row r="447" spans="14:65" x14ac:dyDescent="0.3">
      <c r="N447" s="11">
        <v>29</v>
      </c>
      <c r="O447" s="52">
        <f t="shared" si="408"/>
        <v>194984.45997580473</v>
      </c>
      <c r="P447" s="50" t="str">
        <f t="shared" si="360"/>
        <v>23.3035714285714</v>
      </c>
      <c r="Q447" s="18" t="str">
        <f t="shared" si="361"/>
        <v>1+464.671839528327i</v>
      </c>
      <c r="R447" s="18">
        <f t="shared" si="372"/>
        <v>464.67291555527453</v>
      </c>
      <c r="S447" s="18">
        <f t="shared" si="373"/>
        <v>1.5686442737304434</v>
      </c>
      <c r="T447" s="18" t="str">
        <f t="shared" si="362"/>
        <v>1+2.16846858446553i</v>
      </c>
      <c r="U447" s="18">
        <f t="shared" si="374"/>
        <v>2.3879396981108925</v>
      </c>
      <c r="V447" s="18">
        <f t="shared" si="375"/>
        <v>1.1387047687577869</v>
      </c>
      <c r="W447" s="32" t="str">
        <f t="shared" si="363"/>
        <v>1-2.99474631878478i</v>
      </c>
      <c r="X447" s="18">
        <f t="shared" si="376"/>
        <v>3.1572940176478643</v>
      </c>
      <c r="Y447" s="18">
        <f t="shared" si="377"/>
        <v>-1.2485195749831786</v>
      </c>
      <c r="Z447" s="32" t="str">
        <f t="shared" si="364"/>
        <v>0.847924241471776+1.46981128389712i</v>
      </c>
      <c r="AA447" s="18">
        <f t="shared" si="378"/>
        <v>1.6968561310690977</v>
      </c>
      <c r="AB447" s="18">
        <f t="shared" si="379"/>
        <v>1.0475403665656171</v>
      </c>
      <c r="AC447" s="68" t="str">
        <f t="shared" si="380"/>
        <v>-0.203859609335006-0.0899626884590831i</v>
      </c>
      <c r="AD447" s="66">
        <f t="shared" si="381"/>
        <v>-13.040630290761047</v>
      </c>
      <c r="AE447" s="63">
        <f t="shared" si="382"/>
        <v>-156.1882632406776</v>
      </c>
      <c r="AF447" s="51" t="e">
        <f t="shared" si="383"/>
        <v>#NUM!</v>
      </c>
      <c r="AG447" s="51" t="str">
        <f t="shared" si="365"/>
        <v>1-650.54057533966i</v>
      </c>
      <c r="AH447" s="51">
        <f t="shared" si="384"/>
        <v>650.54134393077265</v>
      </c>
      <c r="AI447" s="51">
        <f t="shared" si="385"/>
        <v>-1.5692591448722548</v>
      </c>
      <c r="AJ447" s="51" t="str">
        <f t="shared" si="366"/>
        <v>1+2.16846858446553i</v>
      </c>
      <c r="AK447" s="51">
        <f t="shared" si="386"/>
        <v>2.3879396981108925</v>
      </c>
      <c r="AL447" s="51">
        <f t="shared" si="387"/>
        <v>1.1387047687577869</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-0.000170731707317073</v>
      </c>
      <c r="AT447" s="32" t="str">
        <f t="shared" si="369"/>
        <v>0.0465546927738363i</v>
      </c>
      <c r="AU447" s="32">
        <f t="shared" si="393"/>
        <v>4.6554692773836302E-2</v>
      </c>
      <c r="AV447" s="32">
        <f t="shared" si="394"/>
        <v>1.5707963267948966</v>
      </c>
      <c r="AW447" s="32" t="str">
        <f t="shared" si="370"/>
        <v>1+9.91189386868987i</v>
      </c>
      <c r="AX447" s="32">
        <f t="shared" si="395"/>
        <v>9.9622106012757943</v>
      </c>
      <c r="AY447" s="32">
        <f t="shared" si="396"/>
        <v>1.4702476598956535</v>
      </c>
      <c r="AZ447" s="32" t="str">
        <f t="shared" si="371"/>
        <v>1+188.325983505108i</v>
      </c>
      <c r="BA447" s="32">
        <f t="shared" si="397"/>
        <v>188.32863845726231</v>
      </c>
      <c r="BB447" s="32">
        <f t="shared" si="398"/>
        <v>1.5654864349623756</v>
      </c>
      <c r="BC447" s="60" t="str">
        <f t="shared" si="399"/>
        <v>-0.00659277766223473+0.069014248628391i</v>
      </c>
      <c r="BD447" s="51">
        <f t="shared" si="400"/>
        <v>-23.181772670607014</v>
      </c>
      <c r="BE447" s="63">
        <f t="shared" si="401"/>
        <v>95.456779857318921</v>
      </c>
      <c r="BF447" s="60" t="str">
        <f t="shared" si="402"/>
        <v>0.00755270842724937-0.0134761137610251i</v>
      </c>
      <c r="BG447" s="66">
        <f t="shared" si="403"/>
        <v>-36.222402961368083</v>
      </c>
      <c r="BH447" s="63">
        <f t="shared" si="404"/>
        <v>-60.731483383358601</v>
      </c>
      <c r="BI447" s="60" t="e">
        <f t="shared" si="409"/>
        <v>#NUM!</v>
      </c>
      <c r="BJ447" s="66" t="e">
        <f t="shared" si="405"/>
        <v>#NUM!</v>
      </c>
      <c r="BK447" s="63" t="e">
        <f t="shared" si="410"/>
        <v>#NUM!</v>
      </c>
      <c r="BL447" s="51">
        <f t="shared" si="406"/>
        <v>-36.222402961368083</v>
      </c>
      <c r="BM447" s="63">
        <f t="shared" si="407"/>
        <v>-60.731483383358601</v>
      </c>
    </row>
    <row r="448" spans="14:65" x14ac:dyDescent="0.3">
      <c r="N448" s="11">
        <v>30</v>
      </c>
      <c r="O448" s="52">
        <f t="shared" si="408"/>
        <v>199526.23149688813</v>
      </c>
      <c r="P448" s="50" t="str">
        <f t="shared" si="360"/>
        <v>23.3035714285714</v>
      </c>
      <c r="Q448" s="18" t="str">
        <f t="shared" si="361"/>
        <v>1+475.495437099545i</v>
      </c>
      <c r="R448" s="18">
        <f t="shared" si="372"/>
        <v>475.49648863318362</v>
      </c>
      <c r="S448" s="18">
        <f t="shared" si="373"/>
        <v>1.5686932602927171</v>
      </c>
      <c r="T448" s="18" t="str">
        <f t="shared" si="362"/>
        <v>1+2.21897870646454i</v>
      </c>
      <c r="U448" s="18">
        <f t="shared" si="374"/>
        <v>2.4338994432274812</v>
      </c>
      <c r="V448" s="18">
        <f t="shared" si="375"/>
        <v>1.14739553157607</v>
      </c>
      <c r="W448" s="32" t="str">
        <f t="shared" si="363"/>
        <v>1-3.06450292167106i</v>
      </c>
      <c r="X448" s="18">
        <f t="shared" si="376"/>
        <v>3.2235350404378211</v>
      </c>
      <c r="Y448" s="18">
        <f t="shared" si="377"/>
        <v>-1.255373530802685</v>
      </c>
      <c r="Z448" s="32" t="str">
        <f t="shared" si="364"/>
        <v>0.840757131778601+1.5040475867871i</v>
      </c>
      <c r="AA448" s="18">
        <f t="shared" si="378"/>
        <v>1.723087838143105</v>
      </c>
      <c r="AB448" s="18">
        <f t="shared" si="379"/>
        <v>1.0610723667450079</v>
      </c>
      <c r="AC448" s="68" t="str">
        <f t="shared" si="380"/>
        <v>-0.205201546146204-0.0876903554042239i</v>
      </c>
      <c r="AD448" s="66">
        <f t="shared" si="381"/>
        <v>-13.027944396853741</v>
      </c>
      <c r="AE448" s="63">
        <f t="shared" si="382"/>
        <v>-156.86115517378809</v>
      </c>
      <c r="AF448" s="51" t="e">
        <f t="shared" si="383"/>
        <v>#NUM!</v>
      </c>
      <c r="AG448" s="51" t="str">
        <f t="shared" si="365"/>
        <v>1-665.693611939365i</v>
      </c>
      <c r="AH448" s="51">
        <f t="shared" si="384"/>
        <v>665.69436303522798</v>
      </c>
      <c r="AI448" s="51">
        <f t="shared" si="385"/>
        <v>-1.5692941353514582</v>
      </c>
      <c r="AJ448" s="51" t="str">
        <f t="shared" si="366"/>
        <v>1+2.21897870646454i</v>
      </c>
      <c r="AK448" s="51">
        <f t="shared" si="386"/>
        <v>2.4338994432274812</v>
      </c>
      <c r="AL448" s="51">
        <f t="shared" si="387"/>
        <v>1.14739553157607</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-0.000170731707317073</v>
      </c>
      <c r="AT448" s="32" t="str">
        <f t="shared" si="369"/>
        <v>0.0476390908732501i</v>
      </c>
      <c r="AU448" s="32">
        <f t="shared" si="393"/>
        <v>4.7639090873250099E-2</v>
      </c>
      <c r="AV448" s="32">
        <f t="shared" si="394"/>
        <v>1.5707963267948966</v>
      </c>
      <c r="AW448" s="32" t="str">
        <f t="shared" si="370"/>
        <v>1+10.1427715360609i</v>
      </c>
      <c r="AX448" s="32">
        <f t="shared" si="395"/>
        <v>10.191948510109693</v>
      </c>
      <c r="AY448" s="32">
        <f t="shared" si="396"/>
        <v>1.4725215494194219</v>
      </c>
      <c r="AZ448" s="32" t="str">
        <f t="shared" si="371"/>
        <v>1+192.712659185158i</v>
      </c>
      <c r="BA448" s="32">
        <f t="shared" si="397"/>
        <v>192.71525370404615</v>
      </c>
      <c r="BB448" s="32">
        <f t="shared" si="398"/>
        <v>1.5656073006619928</v>
      </c>
      <c r="BC448" s="60" t="str">
        <f t="shared" si="399"/>
        <v>-0.00629891031384412+0.0674722656176635i</v>
      </c>
      <c r="BD448" s="51">
        <f t="shared" si="400"/>
        <v>-23.37980823065649</v>
      </c>
      <c r="BE448" s="63">
        <f t="shared" si="401"/>
        <v>95.333420679003964</v>
      </c>
      <c r="BF448" s="60" t="str">
        <f t="shared" si="402"/>
        <v>0.00720921308737819-0.0132930595426516i</v>
      </c>
      <c r="BG448" s="66">
        <f t="shared" si="403"/>
        <v>-36.40775262751022</v>
      </c>
      <c r="BH448" s="63">
        <f t="shared" si="404"/>
        <v>-61.527734494784156</v>
      </c>
      <c r="BI448" s="60" t="e">
        <f t="shared" si="409"/>
        <v>#NUM!</v>
      </c>
      <c r="BJ448" s="66" t="e">
        <f t="shared" si="405"/>
        <v>#NUM!</v>
      </c>
      <c r="BK448" s="63" t="e">
        <f t="shared" si="410"/>
        <v>#NUM!</v>
      </c>
      <c r="BL448" s="51">
        <f t="shared" si="406"/>
        <v>-36.40775262751022</v>
      </c>
      <c r="BM448" s="63">
        <f t="shared" si="407"/>
        <v>-61.527734494784156</v>
      </c>
    </row>
    <row r="449" spans="14:65" x14ac:dyDescent="0.3">
      <c r="N449" s="11">
        <v>31</v>
      </c>
      <c r="O449" s="52">
        <f t="shared" si="408"/>
        <v>204173.79446695308</v>
      </c>
      <c r="P449" s="50" t="str">
        <f t="shared" si="360"/>
        <v>23.3035714285714</v>
      </c>
      <c r="Q449" s="18" t="str">
        <f t="shared" si="361"/>
        <v>1+486.571148645437i</v>
      </c>
      <c r="R449" s="18">
        <f t="shared" si="372"/>
        <v>486.57217624329894</v>
      </c>
      <c r="S449" s="18">
        <f t="shared" si="373"/>
        <v>1.5687411317944504</v>
      </c>
      <c r="T449" s="18" t="str">
        <f t="shared" si="362"/>
        <v>1+2.27066536034537i</v>
      </c>
      <c r="U449" s="18">
        <f t="shared" si="374"/>
        <v>2.4811128911583951</v>
      </c>
      <c r="V449" s="18">
        <f t="shared" si="375"/>
        <v>1.1559547589545607</v>
      </c>
      <c r="W449" s="32" t="str">
        <f t="shared" si="363"/>
        <v>1-3.13588436456988i</v>
      </c>
      <c r="X449" s="18">
        <f t="shared" si="376"/>
        <v>3.2914693904020798</v>
      </c>
      <c r="Y449" s="18">
        <f t="shared" si="377"/>
        <v>-1.2621012271672714</v>
      </c>
      <c r="Z449" s="32" t="str">
        <f t="shared" si="364"/>
        <v>0.833252246611867+1.53908135561602i</v>
      </c>
      <c r="AA449" s="18">
        <f t="shared" si="378"/>
        <v>1.7501659137603409</v>
      </c>
      <c r="AB449" s="18">
        <f t="shared" si="379"/>
        <v>1.0745829863196299</v>
      </c>
      <c r="AC449" s="68" t="str">
        <f t="shared" si="380"/>
        <v>-0.206514903654886-0.0854017002082705i</v>
      </c>
      <c r="AD449" s="66">
        <f t="shared" si="381"/>
        <v>-13.015353233828492</v>
      </c>
      <c r="AE449" s="63">
        <f t="shared" si="382"/>
        <v>-157.53306049188495</v>
      </c>
      <c r="AF449" s="51" t="e">
        <f t="shared" si="383"/>
        <v>#NUM!</v>
      </c>
      <c r="AG449" s="51" t="str">
        <f t="shared" si="365"/>
        <v>1-681.199608103613i</v>
      </c>
      <c r="AH449" s="51">
        <f t="shared" si="384"/>
        <v>681.20034210246536</v>
      </c>
      <c r="AI449" s="51">
        <f t="shared" si="385"/>
        <v>-1.5693283293536695</v>
      </c>
      <c r="AJ449" s="51" t="str">
        <f t="shared" si="366"/>
        <v>1+2.27066536034537i</v>
      </c>
      <c r="AK449" s="51">
        <f t="shared" si="386"/>
        <v>2.4811128911583951</v>
      </c>
      <c r="AL449" s="51">
        <f t="shared" si="387"/>
        <v>1.1559547589545607</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-0.000170731707317073</v>
      </c>
      <c r="AT449" s="32" t="str">
        <f t="shared" si="369"/>
        <v>0.0487487478492228i</v>
      </c>
      <c r="AU449" s="32">
        <f t="shared" si="393"/>
        <v>4.8748747849222798E-2</v>
      </c>
      <c r="AV449" s="32">
        <f t="shared" si="394"/>
        <v>1.5707963267948966</v>
      </c>
      <c r="AW449" s="32" t="str">
        <f t="shared" si="370"/>
        <v>1+10.3790270351558i</v>
      </c>
      <c r="AX449" s="32">
        <f t="shared" si="395"/>
        <v>10.427089823939133</v>
      </c>
      <c r="AY449" s="32">
        <f t="shared" si="396"/>
        <v>1.4747446645166056</v>
      </c>
      <c r="AZ449" s="32" t="str">
        <f t="shared" si="371"/>
        <v>1+197.201513667961i</v>
      </c>
      <c r="BA449" s="32">
        <f t="shared" si="397"/>
        <v>197.20404912915708</v>
      </c>
      <c r="BB449" s="32">
        <f t="shared" si="398"/>
        <v>1.5657254152688937</v>
      </c>
      <c r="BC449" s="60" t="str">
        <f t="shared" si="399"/>
        <v>-0.00601802014336009+0.0659634725906255i</v>
      </c>
      <c r="BD449" s="51">
        <f t="shared" si="400"/>
        <v>-23.57793137056219</v>
      </c>
      <c r="BE449" s="63">
        <f t="shared" si="401"/>
        <v>95.212813035037797</v>
      </c>
      <c r="BF449" s="60" t="str">
        <f t="shared" si="402"/>
        <v>0.00687620356098024-0.0131084910346642i</v>
      </c>
      <c r="BG449" s="66">
        <f t="shared" si="403"/>
        <v>-36.593284604390668</v>
      </c>
      <c r="BH449" s="63">
        <f t="shared" si="404"/>
        <v>-62.32024745684722</v>
      </c>
      <c r="BI449" s="60" t="e">
        <f t="shared" si="409"/>
        <v>#NUM!</v>
      </c>
      <c r="BJ449" s="66" t="e">
        <f t="shared" si="405"/>
        <v>#NUM!</v>
      </c>
      <c r="BK449" s="63" t="e">
        <f t="shared" si="410"/>
        <v>#NUM!</v>
      </c>
      <c r="BL449" s="51">
        <f t="shared" si="406"/>
        <v>-36.593284604390668</v>
      </c>
      <c r="BM449" s="63">
        <f t="shared" si="407"/>
        <v>-62.32024745684722</v>
      </c>
    </row>
    <row r="450" spans="14:65" x14ac:dyDescent="0.3">
      <c r="N450" s="11">
        <v>32</v>
      </c>
      <c r="O450" s="52">
        <f t="shared" si="408"/>
        <v>208929.61308540447</v>
      </c>
      <c r="P450" s="50" t="str">
        <f t="shared" si="360"/>
        <v>23.3035714285714</v>
      </c>
      <c r="Q450" s="18" t="str">
        <f t="shared" si="361"/>
        <v>1+497.904846654876i</v>
      </c>
      <c r="R450" s="18">
        <f t="shared" si="372"/>
        <v>497.90585086180261</v>
      </c>
      <c r="S450" s="18">
        <f t="shared" si="373"/>
        <v>1.5687879136168696</v>
      </c>
      <c r="T450" s="18" t="str">
        <f t="shared" si="362"/>
        <v>1+2.32355595105609i</v>
      </c>
      <c r="U450" s="18">
        <f t="shared" si="374"/>
        <v>2.5296071350484786</v>
      </c>
      <c r="V450" s="18">
        <f t="shared" si="375"/>
        <v>1.1643819716479018</v>
      </c>
      <c r="W450" s="32" t="str">
        <f t="shared" si="363"/>
        <v>1-3.20892849486716i</v>
      </c>
      <c r="X450" s="18">
        <f t="shared" si="376"/>
        <v>3.3611340474861184</v>
      </c>
      <c r="Y450" s="18">
        <f t="shared" si="377"/>
        <v>-1.2687037942762891</v>
      </c>
      <c r="Z450" s="32" t="str">
        <f t="shared" si="364"/>
        <v>0.825393667103932+1.57493116575184i</v>
      </c>
      <c r="AA450" s="18">
        <f t="shared" si="378"/>
        <v>1.7781121681580514</v>
      </c>
      <c r="AB450" s="18">
        <f t="shared" si="379"/>
        <v>1.0880689494904303</v>
      </c>
      <c r="AC450" s="68" t="str">
        <f t="shared" si="380"/>
        <v>-0.207798337258179-0.0830970608378927i</v>
      </c>
      <c r="AD450" s="66">
        <f t="shared" si="381"/>
        <v>-13.002899764618965</v>
      </c>
      <c r="AE450" s="63">
        <f t="shared" si="382"/>
        <v>-158.20388517413431</v>
      </c>
      <c r="AF450" s="51" t="e">
        <f t="shared" si="383"/>
        <v>#NUM!</v>
      </c>
      <c r="AG450" s="51" t="str">
        <f t="shared" si="365"/>
        <v>1-697.066785316827i</v>
      </c>
      <c r="AH450" s="51">
        <f t="shared" si="384"/>
        <v>697.06750260784304</v>
      </c>
      <c r="AI450" s="51">
        <f t="shared" si="385"/>
        <v>-1.5693617450086808</v>
      </c>
      <c r="AJ450" s="51" t="str">
        <f t="shared" si="366"/>
        <v>1+2.32355595105609i</v>
      </c>
      <c r="AK450" s="51">
        <f t="shared" si="386"/>
        <v>2.5296071350484786</v>
      </c>
      <c r="AL450" s="51">
        <f t="shared" si="387"/>
        <v>1.1643819716479018</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-0.000170731707317073</v>
      </c>
      <c r="AT450" s="32" t="str">
        <f t="shared" si="369"/>
        <v>0.0498842520565713i</v>
      </c>
      <c r="AU450" s="32">
        <f t="shared" si="393"/>
        <v>4.98842520565713E-2</v>
      </c>
      <c r="AV450" s="32">
        <f t="shared" si="394"/>
        <v>1.5707963267948966</v>
      </c>
      <c r="AW450" s="32" t="str">
        <f t="shared" si="370"/>
        <v>1+10.6207856317675i</v>
      </c>
      <c r="AX450" s="32">
        <f t="shared" si="395"/>
        <v>10.667759250937332</v>
      </c>
      <c r="AY450" s="32">
        <f t="shared" si="396"/>
        <v>1.4769180959665731</v>
      </c>
      <c r="AZ450" s="32" t="str">
        <f t="shared" si="371"/>
        <v>1+201.794927003583i</v>
      </c>
      <c r="BA450" s="32">
        <f t="shared" si="397"/>
        <v>201.79740475135301</v>
      </c>
      <c r="BB450" s="32">
        <f t="shared" si="398"/>
        <v>1.5658408413958163</v>
      </c>
      <c r="BC450" s="60" t="str">
        <f t="shared" si="399"/>
        <v>-0.00574954469795793+0.0644872389428205i</v>
      </c>
      <c r="BD450" s="51">
        <f t="shared" si="400"/>
        <v>-23.776138221348347</v>
      </c>
      <c r="BE450" s="63">
        <f t="shared" si="401"/>
        <v>95.09489801581185</v>
      </c>
      <c r="BF450" s="60" t="str">
        <f t="shared" si="402"/>
        <v>0.00655344584592652-0.0129225707611326i</v>
      </c>
      <c r="BG450" s="66">
        <f t="shared" si="403"/>
        <v>-36.779037985967307</v>
      </c>
      <c r="BH450" s="63">
        <f t="shared" si="404"/>
        <v>-63.108987158322449</v>
      </c>
      <c r="BI450" s="60" t="e">
        <f t="shared" si="409"/>
        <v>#NUM!</v>
      </c>
      <c r="BJ450" s="66" t="e">
        <f t="shared" si="405"/>
        <v>#NUM!</v>
      </c>
      <c r="BK450" s="63" t="e">
        <f t="shared" si="410"/>
        <v>#NUM!</v>
      </c>
      <c r="BL450" s="51">
        <f t="shared" si="406"/>
        <v>-36.779037985967307</v>
      </c>
      <c r="BM450" s="63">
        <f t="shared" si="407"/>
        <v>-63.108987158322449</v>
      </c>
    </row>
    <row r="451" spans="14:65" x14ac:dyDescent="0.3">
      <c r="N451" s="11">
        <v>33</v>
      </c>
      <c r="O451" s="52">
        <f t="shared" si="408"/>
        <v>213796.20895022334</v>
      </c>
      <c r="P451" s="50" t="str">
        <f t="shared" si="360"/>
        <v>23.3035714285714</v>
      </c>
      <c r="Q451" s="18" t="str">
        <f t="shared" si="361"/>
        <v>1+509.502540404556i</v>
      </c>
      <c r="R451" s="18">
        <f t="shared" si="372"/>
        <v>509.50352175298673</v>
      </c>
      <c r="S451" s="18">
        <f t="shared" si="373"/>
        <v>1.5688336305634965</v>
      </c>
      <c r="T451" s="18" t="str">
        <f t="shared" si="362"/>
        <v>1+2.37767852188793i</v>
      </c>
      <c r="U451" s="18">
        <f t="shared" si="374"/>
        <v>2.5794098459622838</v>
      </c>
      <c r="V451" s="18">
        <f t="shared" si="375"/>
        <v>1.1726768489616721</v>
      </c>
      <c r="W451" s="32" t="str">
        <f t="shared" si="363"/>
        <v>1-3.28367404152759i</v>
      </c>
      <c r="X451" s="18">
        <f t="shared" si="376"/>
        <v>3.4325668545568249</v>
      </c>
      <c r="Y451" s="18">
        <f t="shared" si="377"/>
        <v>-1.2751824294247847</v>
      </c>
      <c r="Z451" s="32" t="str">
        <f t="shared" si="364"/>
        <v>0.817164724154049+1.61161602523842i</v>
      </c>
      <c r="AA451" s="18">
        <f t="shared" si="378"/>
        <v>1.8069489199219348</v>
      </c>
      <c r="AB451" s="18">
        <f t="shared" si="379"/>
        <v>1.1015271946921497</v>
      </c>
      <c r="AC451" s="68" t="str">
        <f t="shared" si="380"/>
        <v>-0.209050568650525-0.0807768286224439i</v>
      </c>
      <c r="AD451" s="66">
        <f t="shared" si="381"/>
        <v>-12.990624471345733</v>
      </c>
      <c r="AE451" s="63">
        <f t="shared" si="382"/>
        <v>-158.87354220129501</v>
      </c>
      <c r="AF451" s="51" t="e">
        <f t="shared" si="383"/>
        <v>#NUM!</v>
      </c>
      <c r="AG451" s="51" t="str">
        <f t="shared" si="365"/>
        <v>1-713.303556566381i</v>
      </c>
      <c r="AH451" s="51">
        <f t="shared" si="384"/>
        <v>713.30425752987628</v>
      </c>
      <c r="AI451" s="51">
        <f t="shared" si="385"/>
        <v>-1.569394400033616</v>
      </c>
      <c r="AJ451" s="51" t="str">
        <f t="shared" si="366"/>
        <v>1+2.37767852188793i</v>
      </c>
      <c r="AK451" s="51">
        <f t="shared" si="386"/>
        <v>2.5794098459622838</v>
      </c>
      <c r="AL451" s="51">
        <f t="shared" si="387"/>
        <v>1.1726768489616721</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-0.000170731707317073</v>
      </c>
      <c r="AT451" s="32" t="str">
        <f t="shared" si="369"/>
        <v>0.0510462055546561i</v>
      </c>
      <c r="AU451" s="32">
        <f t="shared" si="393"/>
        <v>5.1046205554656103E-2</v>
      </c>
      <c r="AV451" s="32">
        <f t="shared" si="394"/>
        <v>1.5707963267948966</v>
      </c>
      <c r="AW451" s="32" t="str">
        <f t="shared" si="370"/>
        <v>1+10.8681755095038i</v>
      </c>
      <c r="AX451" s="32">
        <f t="shared" si="395"/>
        <v>10.914084428177116</v>
      </c>
      <c r="AY451" s="32">
        <f t="shared" si="396"/>
        <v>1.4790429139712835</v>
      </c>
      <c r="AZ451" s="32" t="str">
        <f t="shared" si="371"/>
        <v>1+206.495334680572i</v>
      </c>
      <c r="BA451" s="32">
        <f t="shared" si="397"/>
        <v>206.49775602858602</v>
      </c>
      <c r="BB451" s="32">
        <f t="shared" si="398"/>
        <v>1.5659536402309107</v>
      </c>
      <c r="BC451" s="60" t="str">
        <f t="shared" si="399"/>
        <v>-0.00549294497506795+0.0630429403647381i</v>
      </c>
      <c r="BD451" s="51">
        <f t="shared" si="400"/>
        <v>-23.974425081853482</v>
      </c>
      <c r="BE451" s="63">
        <f t="shared" si="401"/>
        <v>94.979617809093469</v>
      </c>
      <c r="BF451" s="60" t="str">
        <f t="shared" si="402"/>
        <v>0.0062407120603014-0.0127354598577661i</v>
      </c>
      <c r="BG451" s="66">
        <f t="shared" si="403"/>
        <v>-36.965049553199194</v>
      </c>
      <c r="BH451" s="63">
        <f t="shared" si="404"/>
        <v>-63.89392439220164</v>
      </c>
      <c r="BI451" s="60" t="e">
        <f t="shared" si="409"/>
        <v>#NUM!</v>
      </c>
      <c r="BJ451" s="66" t="e">
        <f t="shared" si="405"/>
        <v>#NUM!</v>
      </c>
      <c r="BK451" s="63" t="e">
        <f t="shared" si="410"/>
        <v>#NUM!</v>
      </c>
      <c r="BL451" s="51">
        <f t="shared" si="406"/>
        <v>-36.965049553199194</v>
      </c>
      <c r="BM451" s="63">
        <f t="shared" si="407"/>
        <v>-63.89392439220164</v>
      </c>
    </row>
    <row r="452" spans="14:65" x14ac:dyDescent="0.3">
      <c r="N452" s="11">
        <v>34</v>
      </c>
      <c r="O452" s="52">
        <f t="shared" si="408"/>
        <v>218776.16239495538</v>
      </c>
      <c r="P452" s="50" t="str">
        <f t="shared" si="360"/>
        <v>23.3035714285714</v>
      </c>
      <c r="Q452" s="18" t="str">
        <f t="shared" si="361"/>
        <v>1+521.370379145225i</v>
      </c>
      <c r="R452" s="18">
        <f t="shared" si="372"/>
        <v>521.37133815547975</v>
      </c>
      <c r="S452" s="18">
        <f t="shared" si="373"/>
        <v>1.5688783068732963</v>
      </c>
      <c r="T452" s="18" t="str">
        <f t="shared" si="362"/>
        <v>1+2.43306176934438i</v>
      </c>
      <c r="U452" s="18">
        <f t="shared" si="374"/>
        <v>2.630549291202354</v>
      </c>
      <c r="V452" s="18">
        <f t="shared" si="375"/>
        <v>1.1808392220665775</v>
      </c>
      <c r="W452" s="32" t="str">
        <f t="shared" si="363"/>
        <v>1-3.3601606356294i</v>
      </c>
      <c r="X452" s="18">
        <f t="shared" si="376"/>
        <v>3.5058065401892002</v>
      </c>
      <c r="Y452" s="18">
        <f t="shared" si="377"/>
        <v>-1.2815383914707836</v>
      </c>
      <c r="Z452" s="32" t="str">
        <f t="shared" si="364"/>
        <v>0.808547963070944+1.64915538487384i</v>
      </c>
      <c r="AA452" s="18">
        <f t="shared" si="378"/>
        <v>1.8366990205378115</v>
      </c>
      <c r="AB452" s="18">
        <f t="shared" si="379"/>
        <v>1.1149548805139105</v>
      </c>
      <c r="AC452" s="68" t="str">
        <f t="shared" si="380"/>
        <v>-0.210270386701756-0.0784414421613282i</v>
      </c>
      <c r="AD452" s="66">
        <f t="shared" si="381"/>
        <v>-12.978565428639952</v>
      </c>
      <c r="AE452" s="63">
        <f t="shared" si="382"/>
        <v>-159.54195196176425</v>
      </c>
      <c r="AF452" s="51" t="e">
        <f t="shared" si="383"/>
        <v>#NUM!</v>
      </c>
      <c r="AG452" s="51" t="str">
        <f t="shared" si="365"/>
        <v>1-729.918530803316i</v>
      </c>
      <c r="AH452" s="51">
        <f t="shared" si="384"/>
        <v>729.91921581094948</v>
      </c>
      <c r="AI452" s="51">
        <f t="shared" si="385"/>
        <v>-1.5694263117423233</v>
      </c>
      <c r="AJ452" s="51" t="str">
        <f t="shared" si="366"/>
        <v>1+2.43306176934438i</v>
      </c>
      <c r="AK452" s="51">
        <f t="shared" si="386"/>
        <v>2.630549291202354</v>
      </c>
      <c r="AL452" s="51">
        <f t="shared" si="387"/>
        <v>1.1808392220665775</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-0.000170731707317073</v>
      </c>
      <c r="AT452" s="32" t="str">
        <f t="shared" si="369"/>
        <v>0.0522352244266025i</v>
      </c>
      <c r="AU452" s="32">
        <f t="shared" si="393"/>
        <v>5.22352244266025E-2</v>
      </c>
      <c r="AV452" s="32">
        <f t="shared" si="394"/>
        <v>1.5707963267948966</v>
      </c>
      <c r="AW452" s="32" t="str">
        <f t="shared" si="370"/>
        <v>1+11.1213278377525i</v>
      </c>
      <c r="AX452" s="32">
        <f t="shared" si="395"/>
        <v>11.166195989448182</v>
      </c>
      <c r="AY452" s="32">
        <f t="shared" si="396"/>
        <v>1.4811201683491086</v>
      </c>
      <c r="AZ452" s="32" t="str">
        <f t="shared" si="371"/>
        <v>1+211.305228917299i</v>
      </c>
      <c r="BA452" s="32">
        <f t="shared" si="397"/>
        <v>211.30759514932757</v>
      </c>
      <c r="BB452" s="32">
        <f t="shared" si="398"/>
        <v>1.5660638715701243</v>
      </c>
      <c r="BC452" s="60" t="str">
        <f t="shared" si="399"/>
        <v>-0.00524770452618335+0.0616299592069713i</v>
      </c>
      <c r="BD452" s="51">
        <f t="shared" si="400"/>
        <v>-24.172788411722795</v>
      </c>
      <c r="BE452" s="63">
        <f t="shared" si="401"/>
        <v>94.866915690776011</v>
      </c>
      <c r="BF452" s="60" t="str">
        <f t="shared" si="402"/>
        <v>0.00593777974055578-0.0125473178437929i</v>
      </c>
      <c r="BG452" s="66">
        <f t="shared" si="403"/>
        <v>-37.151353840362773</v>
      </c>
      <c r="BH452" s="63">
        <f t="shared" si="404"/>
        <v>-64.675036270988173</v>
      </c>
      <c r="BI452" s="60" t="e">
        <f t="shared" si="409"/>
        <v>#NUM!</v>
      </c>
      <c r="BJ452" s="66" t="e">
        <f t="shared" si="405"/>
        <v>#NUM!</v>
      </c>
      <c r="BK452" s="63" t="e">
        <f t="shared" si="410"/>
        <v>#NUM!</v>
      </c>
      <c r="BL452" s="51">
        <f t="shared" si="406"/>
        <v>-37.151353840362773</v>
      </c>
      <c r="BM452" s="63">
        <f t="shared" si="407"/>
        <v>-64.675036270988173</v>
      </c>
    </row>
    <row r="453" spans="14:65" x14ac:dyDescent="0.3">
      <c r="N453" s="11">
        <v>35</v>
      </c>
      <c r="O453" s="52">
        <f t="shared" si="408"/>
        <v>223872.11385683404</v>
      </c>
      <c r="P453" s="50" t="str">
        <f t="shared" si="360"/>
        <v>23.3035714285714</v>
      </c>
      <c r="Q453" s="18" t="str">
        <f t="shared" si="361"/>
        <v>1+533.51465536207i</v>
      </c>
      <c r="R453" s="18">
        <f t="shared" si="372"/>
        <v>533.51559254262509</v>
      </c>
      <c r="S453" s="18">
        <f t="shared" si="373"/>
        <v>1.5689219662335261</v>
      </c>
      <c r="T453" s="18" t="str">
        <f t="shared" si="362"/>
        <v>1+2.48973505835633i</v>
      </c>
      <c r="U453" s="18">
        <f t="shared" si="374"/>
        <v>2.683054352935959</v>
      </c>
      <c r="V453" s="18">
        <f t="shared" si="375"/>
        <v>1.1888690672101405</v>
      </c>
      <c r="W453" s="32" t="str">
        <f t="shared" si="363"/>
        <v>1-3.43842883137722i</v>
      </c>
      <c r="X453" s="18">
        <f t="shared" si="376"/>
        <v>3.5808927418237642</v>
      </c>
      <c r="Y453" s="18">
        <f t="shared" si="377"/>
        <v>-1.287772995506465</v>
      </c>
      <c r="Z453" s="32" t="str">
        <f t="shared" si="364"/>
        <v>0.799525106549089+1.68756914852347i</v>
      </c>
      <c r="AA453" s="18">
        <f t="shared" si="378"/>
        <v>1.8673858805963384</v>
      </c>
      <c r="AB453" s="18">
        <f t="shared" si="379"/>
        <v>1.1283493905939936</v>
      </c>
      <c r="AC453" s="68" t="str">
        <f t="shared" si="380"/>
        <v>-0.211456647795398-0.0760913813051605i</v>
      </c>
      <c r="AD453" s="66">
        <f t="shared" si="381"/>
        <v>-12.966758385654423</v>
      </c>
      <c r="AE453" s="63">
        <f t="shared" si="382"/>
        <v>-160.20904261638589</v>
      </c>
      <c r="AF453" s="51" t="e">
        <f t="shared" si="383"/>
        <v>#NUM!</v>
      </c>
      <c r="AG453" s="51" t="str">
        <f t="shared" si="365"/>
        <v>1-746.920517506899i</v>
      </c>
      <c r="AH453" s="51">
        <f t="shared" si="384"/>
        <v>746.92118692186909</v>
      </c>
      <c r="AI453" s="51">
        <f t="shared" si="385"/>
        <v>-1.5694574970545523</v>
      </c>
      <c r="AJ453" s="51" t="str">
        <f t="shared" si="366"/>
        <v>1+2.48973505835633i</v>
      </c>
      <c r="AK453" s="51">
        <f t="shared" si="386"/>
        <v>2.683054352935959</v>
      </c>
      <c r="AL453" s="51">
        <f t="shared" si="387"/>
        <v>1.1888690672101405</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-0.000170731707317073</v>
      </c>
      <c r="AT453" s="32" t="str">
        <f t="shared" si="369"/>
        <v>0.0534519391059548i</v>
      </c>
      <c r="AU453" s="32">
        <f t="shared" si="393"/>
        <v>5.3451939105954797E-2</v>
      </c>
      <c r="AV453" s="32">
        <f t="shared" si="394"/>
        <v>1.5707963267948966</v>
      </c>
      <c r="AW453" s="32" t="str">
        <f t="shared" si="370"/>
        <v>1+11.3803768412291i</v>
      </c>
      <c r="AX453" s="32">
        <f t="shared" si="395"/>
        <v>11.424227634653629</v>
      </c>
      <c r="AY453" s="32">
        <f t="shared" si="396"/>
        <v>1.4831508887415856</v>
      </c>
      <c r="AZ453" s="32" t="str">
        <f t="shared" si="371"/>
        <v>1+216.227159983353i</v>
      </c>
      <c r="BA453" s="32">
        <f t="shared" si="397"/>
        <v>216.22947235394747</v>
      </c>
      <c r="BB453" s="32">
        <f t="shared" si="398"/>
        <v>1.566171593848851</v>
      </c>
      <c r="BC453" s="60" t="str">
        <f t="shared" si="399"/>
        <v>-0.00501332858759864+0.060247684806242i</v>
      </c>
      <c r="BD453" s="51">
        <f t="shared" si="400"/>
        <v>-24.371224824669348</v>
      </c>
      <c r="BE453" s="63">
        <f t="shared" si="401"/>
        <v>94.75673601484651</v>
      </c>
      <c r="BF453" s="60" t="str">
        <f t="shared" si="402"/>
        <v>0.00564443121477533-0.0123583023693946i</v>
      </c>
      <c r="BG453" s="66">
        <f t="shared" si="403"/>
        <v>-37.337983210323799</v>
      </c>
      <c r="BH453" s="63">
        <f t="shared" si="404"/>
        <v>-65.452306601539306</v>
      </c>
      <c r="BI453" s="60" t="e">
        <f t="shared" si="409"/>
        <v>#NUM!</v>
      </c>
      <c r="BJ453" s="66" t="e">
        <f t="shared" si="405"/>
        <v>#NUM!</v>
      </c>
      <c r="BK453" s="63" t="e">
        <f t="shared" si="410"/>
        <v>#NUM!</v>
      </c>
      <c r="BL453" s="51">
        <f t="shared" si="406"/>
        <v>-37.337983210323799</v>
      </c>
      <c r="BM453" s="63">
        <f t="shared" si="407"/>
        <v>-65.452306601539306</v>
      </c>
    </row>
    <row r="454" spans="14:65" x14ac:dyDescent="0.3">
      <c r="N454" s="11">
        <v>36</v>
      </c>
      <c r="O454" s="52">
        <f t="shared" si="408"/>
        <v>229086.76527677779</v>
      </c>
      <c r="P454" s="50" t="str">
        <f t="shared" si="360"/>
        <v>23.3035714285714</v>
      </c>
      <c r="Q454" s="18" t="str">
        <f t="shared" si="361"/>
        <v>1+545.941808111087i</v>
      </c>
      <c r="R454" s="18">
        <f t="shared" si="372"/>
        <v>545.94272395884434</v>
      </c>
      <c r="S454" s="18">
        <f t="shared" si="373"/>
        <v>1.5689646317922903</v>
      </c>
      <c r="T454" s="18" t="str">
        <f t="shared" si="362"/>
        <v>1+2.54772843785174i</v>
      </c>
      <c r="U454" s="18">
        <f t="shared" si="374"/>
        <v>2.736954547126873</v>
      </c>
      <c r="V454" s="18">
        <f t="shared" si="375"/>
        <v>1.1967664988656828</v>
      </c>
      <c r="W454" s="32" t="str">
        <f t="shared" si="363"/>
        <v>1-3.51852012760441i</v>
      </c>
      <c r="X454" s="18">
        <f t="shared" si="376"/>
        <v>3.6578660293068901</v>
      </c>
      <c r="Y454" s="18">
        <f t="shared" si="377"/>
        <v>-1.2938876077378638</v>
      </c>
      <c r="Z454" s="32" t="str">
        <f t="shared" si="364"/>
        <v>0.790077015900089+1.72687768367326i</v>
      </c>
      <c r="AA454" s="18">
        <f t="shared" si="378"/>
        <v>1.8990334977093777</v>
      </c>
      <c r="AB454" s="18">
        <f t="shared" si="379"/>
        <v>1.1417083374959354</v>
      </c>
      <c r="AC454" s="68" t="str">
        <f t="shared" si="380"/>
        <v>-0.212608275646314-0.0737271612613972i</v>
      </c>
      <c r="AD454" s="66">
        <f t="shared" si="381"/>
        <v>-12.955236855724417</v>
      </c>
      <c r="AE454" s="63">
        <f t="shared" si="382"/>
        <v>-160.87475042041694</v>
      </c>
      <c r="AF454" s="51" t="e">
        <f t="shared" si="383"/>
        <v>#NUM!</v>
      </c>
      <c r="AG454" s="51" t="str">
        <f t="shared" si="365"/>
        <v>1-764.318531355524i</v>
      </c>
      <c r="AH454" s="51">
        <f t="shared" si="384"/>
        <v>764.31918553276228</v>
      </c>
      <c r="AI454" s="51">
        <f t="shared" si="385"/>
        <v>-1.5694879725049262</v>
      </c>
      <c r="AJ454" s="51" t="str">
        <f t="shared" si="366"/>
        <v>1+2.54772843785174i</v>
      </c>
      <c r="AK454" s="51">
        <f t="shared" si="386"/>
        <v>2.736954547126873</v>
      </c>
      <c r="AL454" s="51">
        <f t="shared" si="387"/>
        <v>1.1967664988656828</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-0.000170731707317073</v>
      </c>
      <c r="AT454" s="32" t="str">
        <f t="shared" si="369"/>
        <v>0.0546969947109413i</v>
      </c>
      <c r="AU454" s="32">
        <f t="shared" si="393"/>
        <v>5.4696994710941298E-2</v>
      </c>
      <c r="AV454" s="32">
        <f t="shared" si="394"/>
        <v>1.5707963267948966</v>
      </c>
      <c r="AW454" s="32" t="str">
        <f t="shared" si="370"/>
        <v>1+11.6454598711439i</v>
      </c>
      <c r="AX454" s="32">
        <f t="shared" si="395"/>
        <v>11.688316200823063</v>
      </c>
      <c r="AY454" s="32">
        <f t="shared" si="396"/>
        <v>1.4851360848317487</v>
      </c>
      <c r="AZ454" s="32" t="str">
        <f t="shared" si="371"/>
        <v>1+221.263737551734i</v>
      </c>
      <c r="BA454" s="32">
        <f t="shared" si="397"/>
        <v>221.26599728689138</v>
      </c>
      <c r="BB454" s="32">
        <f t="shared" si="398"/>
        <v>1.5662768641728626</v>
      </c>
      <c r="BC454" s="60" t="str">
        <f t="shared" si="399"/>
        <v>-0.00478934323796963+0.0588955137749216i</v>
      </c>
      <c r="BD454" s="51">
        <f t="shared" si="400"/>
        <v>-24.569731081995336</v>
      </c>
      <c r="BE454" s="63">
        <f t="shared" si="401"/>
        <v>94.649024202648121</v>
      </c>
      <c r="BF454" s="60" t="str">
        <f t="shared" si="402"/>
        <v>0.00536045304895954-0.0121685689457478i</v>
      </c>
      <c r="BG454" s="66">
        <f t="shared" si="403"/>
        <v>-37.524967937719779</v>
      </c>
      <c r="BH454" s="63">
        <f t="shared" si="404"/>
        <v>-66.225726217768724</v>
      </c>
      <c r="BI454" s="60" t="e">
        <f t="shared" si="409"/>
        <v>#NUM!</v>
      </c>
      <c r="BJ454" s="66" t="e">
        <f t="shared" si="405"/>
        <v>#NUM!</v>
      </c>
      <c r="BK454" s="63" t="e">
        <f t="shared" si="410"/>
        <v>#NUM!</v>
      </c>
      <c r="BL454" s="51">
        <f t="shared" si="406"/>
        <v>-37.524967937719779</v>
      </c>
      <c r="BM454" s="63">
        <f t="shared" si="407"/>
        <v>-66.225726217768724</v>
      </c>
    </row>
    <row r="455" spans="14:65" x14ac:dyDescent="0.3">
      <c r="N455" s="11">
        <v>37</v>
      </c>
      <c r="O455" s="52">
        <f t="shared" si="408"/>
        <v>234422.88153199267</v>
      </c>
      <c r="P455" s="50" t="str">
        <f t="shared" si="360"/>
        <v>23.3035714285714</v>
      </c>
      <c r="Q455" s="18" t="str">
        <f t="shared" si="361"/>
        <v>1+558.65842643316i</v>
      </c>
      <c r="R455" s="18">
        <f t="shared" si="372"/>
        <v>558.65932143371106</v>
      </c>
      <c r="S455" s="18">
        <f t="shared" si="373"/>
        <v>1.5690063261708116</v>
      </c>
      <c r="T455" s="18" t="str">
        <f t="shared" si="362"/>
        <v>1+2.60707265668808i</v>
      </c>
      <c r="U455" s="18">
        <f t="shared" si="374"/>
        <v>2.7922800427698227</v>
      </c>
      <c r="V455" s="18">
        <f t="shared" si="375"/>
        <v>1.204531762855457</v>
      </c>
      <c r="W455" s="32" t="str">
        <f t="shared" si="363"/>
        <v>1-3.60047698977638i</v>
      </c>
      <c r="X455" s="18">
        <f t="shared" si="376"/>
        <v>3.7367679288268865</v>
      </c>
      <c r="Y455" s="18">
        <f t="shared" si="377"/>
        <v>-1.2998836405761627</v>
      </c>
      <c r="Z455" s="32" t="str">
        <f t="shared" si="364"/>
        <v>0.780183650456948+1.76710183222887i</v>
      </c>
      <c r="AA455" s="18">
        <f t="shared" si="378"/>
        <v>1.9316664861996646</v>
      </c>
      <c r="AB455" s="18">
        <f t="shared" si="379"/>
        <v>1.1550295655805392</v>
      </c>
      <c r="AC455" s="68" t="str">
        <f t="shared" si="380"/>
        <v>-0.213724260621564-0.0713493268715913i</v>
      </c>
      <c r="AD455" s="66">
        <f t="shared" si="381"/>
        <v>-12.944032212655006</v>
      </c>
      <c r="AE455" s="63">
        <f t="shared" si="382"/>
        <v>-161.53902000155188</v>
      </c>
      <c r="AF455" s="51" t="e">
        <f t="shared" si="383"/>
        <v>#NUM!</v>
      </c>
      <c r="AG455" s="51" t="str">
        <f t="shared" si="365"/>
        <v>1-782.121797006426i</v>
      </c>
      <c r="AH455" s="51">
        <f t="shared" si="384"/>
        <v>782.12243629278476</v>
      </c>
      <c r="AI455" s="51">
        <f t="shared" si="385"/>
        <v>-1.5695177542517051</v>
      </c>
      <c r="AJ455" s="51" t="str">
        <f t="shared" si="366"/>
        <v>1+2.60707265668808i</v>
      </c>
      <c r="AK455" s="51">
        <f t="shared" si="386"/>
        <v>2.7922800427698227</v>
      </c>
      <c r="AL455" s="51">
        <f t="shared" si="387"/>
        <v>1.204531762855457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-0.000170731707317073</v>
      </c>
      <c r="AT455" s="32" t="str">
        <f t="shared" si="369"/>
        <v>0.0559710513865237i</v>
      </c>
      <c r="AU455" s="32">
        <f t="shared" si="393"/>
        <v>5.5971051386523703E-2</v>
      </c>
      <c r="AV455" s="32">
        <f t="shared" si="394"/>
        <v>1.5707963267948966</v>
      </c>
      <c r="AW455" s="32" t="str">
        <f t="shared" si="370"/>
        <v>1+11.9167174780283i</v>
      </c>
      <c r="AX455" s="32">
        <f t="shared" si="395"/>
        <v>11.958601734782588</v>
      </c>
      <c r="AY455" s="32">
        <f t="shared" si="396"/>
        <v>1.4870767465728021</v>
      </c>
      <c r="AZ455" s="32" t="str">
        <f t="shared" si="371"/>
        <v>1+226.417632082538i</v>
      </c>
      <c r="BA455" s="32">
        <f t="shared" si="397"/>
        <v>226.41984038035079</v>
      </c>
      <c r="BB455" s="32">
        <f t="shared" si="398"/>
        <v>1.5663797383485405</v>
      </c>
      <c r="BC455" s="60" t="str">
        <f t="shared" si="399"/>
        <v>-0.00457529458250225+0.0575728502565153i</v>
      </c>
      <c r="BD455" s="51">
        <f t="shared" si="400"/>
        <v>-24.768304086366651</v>
      </c>
      <c r="BE455" s="63">
        <f t="shared" si="401"/>
        <v>94.543726731510475</v>
      </c>
      <c r="BF455" s="60" t="str">
        <f t="shared" si="402"/>
        <v>0.00508563556365243-0.011978270664249i</v>
      </c>
      <c r="BG455" s="66">
        <f t="shared" si="403"/>
        <v>-37.712336299021644</v>
      </c>
      <c r="BH455" s="63">
        <f t="shared" si="404"/>
        <v>-66.995293270041444</v>
      </c>
      <c r="BI455" s="60" t="e">
        <f t="shared" si="409"/>
        <v>#NUM!</v>
      </c>
      <c r="BJ455" s="66" t="e">
        <f t="shared" si="405"/>
        <v>#NUM!</v>
      </c>
      <c r="BK455" s="63" t="e">
        <f t="shared" si="410"/>
        <v>#NUM!</v>
      </c>
      <c r="BL455" s="51">
        <f t="shared" si="406"/>
        <v>-37.712336299021644</v>
      </c>
      <c r="BM455" s="63">
        <f t="shared" si="407"/>
        <v>-66.995293270041444</v>
      </c>
    </row>
    <row r="456" spans="14:65" x14ac:dyDescent="0.3">
      <c r="N456" s="11">
        <v>38</v>
      </c>
      <c r="O456" s="52">
        <f t="shared" si="408"/>
        <v>239883.29190194907</v>
      </c>
      <c r="P456" s="50" t="str">
        <f t="shared" si="360"/>
        <v>23.3035714285714</v>
      </c>
      <c r="Q456" s="18" t="str">
        <f t="shared" si="361"/>
        <v>1+571.671252847644i</v>
      </c>
      <c r="R456" s="18">
        <f t="shared" si="372"/>
        <v>571.67212747552685</v>
      </c>
      <c r="S456" s="18">
        <f t="shared" si="373"/>
        <v>1.569047071475421</v>
      </c>
      <c r="T456" s="18" t="str">
        <f t="shared" si="362"/>
        <v>1+2.66779917995568i</v>
      </c>
      <c r="U456" s="18">
        <f t="shared" si="374"/>
        <v>2.8490616814263956</v>
      </c>
      <c r="V456" s="18">
        <f t="shared" si="375"/>
        <v>1.2121652294818235</v>
      </c>
      <c r="W456" s="32" t="str">
        <f t="shared" si="363"/>
        <v>1-3.68434287250627i</v>
      </c>
      <c r="X456" s="18">
        <f t="shared" si="376"/>
        <v>3.8176409472588895</v>
      </c>
      <c r="Y456" s="18">
        <f t="shared" si="377"/>
        <v>-1.3057625479421699</v>
      </c>
      <c r="Z456" s="32" t="str">
        <f t="shared" si="364"/>
        <v>0.769824025065136+1.80826292156628i</v>
      </c>
      <c r="AA456" s="18">
        <f t="shared" si="378"/>
        <v>1.9653101086288918</v>
      </c>
      <c r="AB456" s="18">
        <f t="shared" si="379"/>
        <v>1.1683111528952201</v>
      </c>
      <c r="AC456" s="68" t="str">
        <f t="shared" si="380"/>
        <v>-0.214803658592463-0.0689584471034777i</v>
      </c>
      <c r="AD456" s="66">
        <f t="shared" si="381"/>
        <v>-12.933173792638339</v>
      </c>
      <c r="AE456" s="63">
        <f t="shared" si="382"/>
        <v>-162.20180459338246</v>
      </c>
      <c r="AF456" s="51" t="e">
        <f t="shared" si="383"/>
        <v>#NUM!</v>
      </c>
      <c r="AG456" s="51" t="str">
        <f t="shared" si="365"/>
        <v>1-800.339753986704i</v>
      </c>
      <c r="AH456" s="51">
        <f t="shared" si="384"/>
        <v>800.34037872114004</v>
      </c>
      <c r="AI456" s="51">
        <f t="shared" si="385"/>
        <v>-1.5695468580853542</v>
      </c>
      <c r="AJ456" s="51" t="str">
        <f t="shared" si="366"/>
        <v>1+2.66779917995568i</v>
      </c>
      <c r="AK456" s="51">
        <f t="shared" si="386"/>
        <v>2.8490616814263956</v>
      </c>
      <c r="AL456" s="51">
        <f t="shared" si="387"/>
        <v>1.2121652294818235</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-0.000170731707317073</v>
      </c>
      <c r="AT456" s="32" t="str">
        <f t="shared" si="369"/>
        <v>0.0572747846544155i</v>
      </c>
      <c r="AU456" s="32">
        <f t="shared" si="393"/>
        <v>5.7274784654415503E-2</v>
      </c>
      <c r="AV456" s="32">
        <f t="shared" si="394"/>
        <v>1.5707963267948966</v>
      </c>
      <c r="AW456" s="32" t="str">
        <f t="shared" si="370"/>
        <v>1+12.1942934862559i</v>
      </c>
      <c r="AX456" s="32">
        <f t="shared" si="395"/>
        <v>12.235227567517619</v>
      </c>
      <c r="AY456" s="32">
        <f t="shared" si="396"/>
        <v>1.4889738444259333</v>
      </c>
      <c r="AZ456" s="32" t="str">
        <f t="shared" si="371"/>
        <v>1+231.691576238862i</v>
      </c>
      <c r="BA456" s="32">
        <f t="shared" si="397"/>
        <v>231.6937342701533</v>
      </c>
      <c r="BB456" s="32">
        <f t="shared" si="398"/>
        <v>1.5664802709124195</v>
      </c>
      <c r="BC456" s="60" t="str">
        <f t="shared" si="399"/>
        <v>-0.0043707479635082+0.0562791061494642i</v>
      </c>
      <c r="BD456" s="51">
        <f t="shared" si="400"/>
        <v>-24.966940875831497</v>
      </c>
      <c r="BE456" s="63">
        <f t="shared" si="401"/>
        <v>94.44079112281662</v>
      </c>
      <c r="BF456" s="60" t="str">
        <f t="shared" si="402"/>
        <v>0.00481977241778595-0.0117875579109743i</v>
      </c>
      <c r="BG456" s="66">
        <f t="shared" si="403"/>
        <v>-37.900114668469826</v>
      </c>
      <c r="BH456" s="63">
        <f t="shared" si="404"/>
        <v>-67.761013470565885</v>
      </c>
      <c r="BI456" s="60" t="e">
        <f t="shared" si="409"/>
        <v>#NUM!</v>
      </c>
      <c r="BJ456" s="66" t="e">
        <f t="shared" si="405"/>
        <v>#NUM!</v>
      </c>
      <c r="BK456" s="63" t="e">
        <f t="shared" si="410"/>
        <v>#NUM!</v>
      </c>
      <c r="BL456" s="51">
        <f t="shared" si="406"/>
        <v>-37.900114668469826</v>
      </c>
      <c r="BM456" s="63">
        <f t="shared" si="407"/>
        <v>-67.761013470565885</v>
      </c>
    </row>
    <row r="457" spans="14:65" x14ac:dyDescent="0.3">
      <c r="N457" s="11">
        <v>39</v>
      </c>
      <c r="O457" s="52">
        <f t="shared" si="408"/>
        <v>245470.89156850305</v>
      </c>
      <c r="P457" s="50" t="str">
        <f t="shared" si="360"/>
        <v>23.3035714285714</v>
      </c>
      <c r="Q457" s="18" t="str">
        <f t="shared" si="361"/>
        <v>1+584.987186927352i</v>
      </c>
      <c r="R457" s="18">
        <f t="shared" si="372"/>
        <v>584.98804164630292</v>
      </c>
      <c r="S457" s="18">
        <f t="shared" si="373"/>
        <v>1.5690868893092766</v>
      </c>
      <c r="T457" s="18" t="str">
        <f t="shared" si="362"/>
        <v>1+2.72994020566098i</v>
      </c>
      <c r="U457" s="18">
        <f t="shared" si="374"/>
        <v>2.9073309970631676</v>
      </c>
      <c r="V457" s="18">
        <f t="shared" si="375"/>
        <v>1.2196673866975158</v>
      </c>
      <c r="W457" s="32" t="str">
        <f t="shared" si="363"/>
        <v>1-3.7701622425952i</v>
      </c>
      <c r="X457" s="18">
        <f t="shared" si="376"/>
        <v>3.9005285969327885</v>
      </c>
      <c r="Y457" s="18">
        <f t="shared" si="377"/>
        <v>-1.3115258207843608</v>
      </c>
      <c r="Z457" s="32" t="str">
        <f t="shared" si="364"/>
        <v>0.758976165570257+1.8503827758399i</v>
      </c>
      <c r="AA457" s="18">
        <f t="shared" si="378"/>
        <v>1.9999903092336986</v>
      </c>
      <c r="AB457" s="18">
        <f t="shared" si="379"/>
        <v>1.1815514121083628</v>
      </c>
      <c r="AC457" s="68" t="str">
        <f t="shared" si="380"/>
        <v>-0.215845589349414-0.0665551097968555i</v>
      </c>
      <c r="AD457" s="66">
        <f t="shared" si="381"/>
        <v>-12.922689000834961</v>
      </c>
      <c r="AE457" s="63">
        <f t="shared" si="382"/>
        <v>-162.86306622412124</v>
      </c>
      <c r="AF457" s="51" t="e">
        <f t="shared" si="383"/>
        <v>#NUM!</v>
      </c>
      <c r="AG457" s="51" t="str">
        <f t="shared" si="365"/>
        <v>1-818.982061698295i</v>
      </c>
      <c r="AH457" s="51">
        <f t="shared" si="384"/>
        <v>818.98267221204981</v>
      </c>
      <c r="AI457" s="51">
        <f t="shared" si="385"/>
        <v>-1.5695752994369139</v>
      </c>
      <c r="AJ457" s="51" t="str">
        <f t="shared" si="366"/>
        <v>1+2.72994020566098i</v>
      </c>
      <c r="AK457" s="51">
        <f t="shared" si="386"/>
        <v>2.9073309970631676</v>
      </c>
      <c r="AL457" s="51">
        <f t="shared" si="387"/>
        <v>1.2196673866975158</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-0.000170731707317073</v>
      </c>
      <c r="AT457" s="32" t="str">
        <f t="shared" si="369"/>
        <v>0.0586088857712527i</v>
      </c>
      <c r="AU457" s="32">
        <f t="shared" si="393"/>
        <v>5.86088857712527E-2</v>
      </c>
      <c r="AV457" s="32">
        <f t="shared" si="394"/>
        <v>1.5707963267948966</v>
      </c>
      <c r="AW457" s="32" t="str">
        <f t="shared" si="370"/>
        <v>1+12.4783350703005i</v>
      </c>
      <c r="AX457" s="32">
        <f t="shared" si="395"/>
        <v>12.518340390271044</v>
      </c>
      <c r="AY457" s="32">
        <f t="shared" si="396"/>
        <v>1.4908283296061973</v>
      </c>
      <c r="AZ457" s="32" t="str">
        <f t="shared" si="371"/>
        <v>1+237.088366335709i</v>
      </c>
      <c r="BA457" s="32">
        <f t="shared" si="397"/>
        <v>237.09047524465285</v>
      </c>
      <c r="BB457" s="32">
        <f t="shared" si="398"/>
        <v>1.5665785151600622</v>
      </c>
      <c r="BC457" s="60" t="str">
        <f t="shared" si="399"/>
        <v>-0.00417528719699901+0.0550137013014743i</v>
      </c>
      <c r="BD457" s="51">
        <f t="shared" si="400"/>
        <v>-25.16563861807548</v>
      </c>
      <c r="BE457" s="63">
        <f t="shared" si="401"/>
        <v>94.340165929569309</v>
      </c>
      <c r="BF457" s="60" t="str">
        <f t="shared" si="402"/>
        <v>0.00456266025619035-0.0115965780818797i</v>
      </c>
      <c r="BG457" s="66">
        <f t="shared" si="403"/>
        <v>-38.088327618910419</v>
      </c>
      <c r="BH457" s="63">
        <f t="shared" si="404"/>
        <v>-68.522900294552002</v>
      </c>
      <c r="BI457" s="60" t="e">
        <f t="shared" si="409"/>
        <v>#NUM!</v>
      </c>
      <c r="BJ457" s="66" t="e">
        <f t="shared" si="405"/>
        <v>#NUM!</v>
      </c>
      <c r="BK457" s="63" t="e">
        <f t="shared" si="410"/>
        <v>#NUM!</v>
      </c>
      <c r="BL457" s="51">
        <f t="shared" si="406"/>
        <v>-38.088327618910419</v>
      </c>
      <c r="BM457" s="63">
        <f t="shared" si="407"/>
        <v>-68.522900294552002</v>
      </c>
    </row>
    <row r="458" spans="14:65" x14ac:dyDescent="0.3">
      <c r="N458" s="11">
        <v>40</v>
      </c>
      <c r="O458" s="52">
        <f t="shared" si="408"/>
        <v>251188.64315095844</v>
      </c>
      <c r="P458" s="50" t="str">
        <f t="shared" si="360"/>
        <v>23.3035714285714</v>
      </c>
      <c r="Q458" s="18" t="str">
        <f t="shared" si="361"/>
        <v>1+598.613288956794i</v>
      </c>
      <c r="R458" s="18">
        <f t="shared" si="372"/>
        <v>598.61412421999387</v>
      </c>
      <c r="S458" s="18">
        <f t="shared" si="373"/>
        <v>1.569125800783816</v>
      </c>
      <c r="T458" s="18" t="str">
        <f t="shared" si="362"/>
        <v>1+2.79352868179837i</v>
      </c>
      <c r="U458" s="18">
        <f t="shared" si="374"/>
        <v>2.9671202361936966</v>
      </c>
      <c r="V458" s="18">
        <f t="shared" si="375"/>
        <v>1.2270388333430708</v>
      </c>
      <c r="W458" s="32" t="str">
        <f t="shared" si="363"/>
        <v>1-3.85798060260917i</v>
      </c>
      <c r="X458" s="18">
        <f t="shared" si="376"/>
        <v>3.9854754208386001</v>
      </c>
      <c r="Y458" s="18">
        <f t="shared" si="377"/>
        <v>-1.3171749828096697</v>
      </c>
      <c r="Z458" s="32" t="str">
        <f t="shared" si="364"/>
        <v>0.747617062207921+1.89348372755398i</v>
      </c>
      <c r="AA458" s="18">
        <f t="shared" si="378"/>
        <v>2.0357337493434935</v>
      </c>
      <c r="AB458" s="18">
        <f t="shared" si="379"/>
        <v>1.1947488905217212</v>
      </c>
      <c r="AC458" s="68" t="str">
        <f t="shared" si="380"/>
        <v>-0.216849234613948-0.064139916697763i</v>
      </c>
      <c r="AD458" s="66">
        <f t="shared" si="381"/>
        <v>-12.91260342169541</v>
      </c>
      <c r="AE458" s="63">
        <f t="shared" si="382"/>
        <v>-163.52277586082698</v>
      </c>
      <c r="AF458" s="51" t="e">
        <f t="shared" si="383"/>
        <v>#NUM!</v>
      </c>
      <c r="AG458" s="51" t="str">
        <f t="shared" si="365"/>
        <v>1-838.058604539513i</v>
      </c>
      <c r="AH458" s="51">
        <f t="shared" si="384"/>
        <v>838.05920115628817</v>
      </c>
      <c r="AI458" s="51">
        <f t="shared" si="385"/>
        <v>-1.5696030933861813</v>
      </c>
      <c r="AJ458" s="51" t="str">
        <f t="shared" si="366"/>
        <v>1+2.79352868179837i</v>
      </c>
      <c r="AK458" s="51">
        <f t="shared" si="386"/>
        <v>2.9671202361936966</v>
      </c>
      <c r="AL458" s="51">
        <f t="shared" si="387"/>
        <v>1.2270388333430708</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-0.000170731707317073</v>
      </c>
      <c r="AT458" s="32" t="str">
        <f t="shared" si="369"/>
        <v>0.0599740620951062i</v>
      </c>
      <c r="AU458" s="32">
        <f t="shared" si="393"/>
        <v>5.9974062095106202E-2</v>
      </c>
      <c r="AV458" s="32">
        <f t="shared" si="394"/>
        <v>1.5707963267948966</v>
      </c>
      <c r="AW458" s="32" t="str">
        <f t="shared" si="370"/>
        <v>1+12.7689928327697i</v>
      </c>
      <c r="AX458" s="32">
        <f t="shared" si="395"/>
        <v>12.808090332415834</v>
      </c>
      <c r="AY458" s="32">
        <f t="shared" si="396"/>
        <v>1.4926411343354433</v>
      </c>
      <c r="AZ458" s="32" t="str">
        <f t="shared" si="371"/>
        <v>1+242.610863822625i</v>
      </c>
      <c r="BA458" s="32">
        <f t="shared" si="397"/>
        <v>242.61292472735306</v>
      </c>
      <c r="BB458" s="32">
        <f t="shared" si="398"/>
        <v>1.5666745231742791</v>
      </c>
      <c r="BC458" s="60" t="str">
        <f t="shared" si="399"/>
        <v>-0.00398851383493807+0.0537760636764601i</v>
      </c>
      <c r="BD458" s="51">
        <f t="shared" si="400"/>
        <v>-25.364394604905165</v>
      </c>
      <c r="BE458" s="63">
        <f t="shared" si="401"/>
        <v>94.241800723516221</v>
      </c>
      <c r="BF458" s="60" t="str">
        <f t="shared" si="402"/>
        <v>0.00431409841689521-0.0114054753036705i</v>
      </c>
      <c r="BG458" s="66">
        <f t="shared" si="403"/>
        <v>-38.27699802660058</v>
      </c>
      <c r="BH458" s="63">
        <f t="shared" si="404"/>
        <v>-69.280975137310762</v>
      </c>
      <c r="BI458" s="60" t="e">
        <f t="shared" si="409"/>
        <v>#NUM!</v>
      </c>
      <c r="BJ458" s="66" t="e">
        <f t="shared" si="405"/>
        <v>#NUM!</v>
      </c>
      <c r="BK458" s="63" t="e">
        <f t="shared" si="410"/>
        <v>#NUM!</v>
      </c>
      <c r="BL458" s="51">
        <f t="shared" si="406"/>
        <v>-38.27699802660058</v>
      </c>
      <c r="BM458" s="63">
        <f t="shared" si="407"/>
        <v>-69.280975137310762</v>
      </c>
    </row>
    <row r="459" spans="14:65" x14ac:dyDescent="0.3">
      <c r="N459" s="11">
        <v>41</v>
      </c>
      <c r="O459" s="52">
        <f t="shared" si="408"/>
        <v>257039.57827688678</v>
      </c>
      <c r="P459" s="50" t="str">
        <f t="shared" si="360"/>
        <v>23.3035714285714</v>
      </c>
      <c r="Q459" s="18" t="str">
        <f t="shared" si="361"/>
        <v>1+612.556783675619i</v>
      </c>
      <c r="R459" s="18">
        <f t="shared" si="372"/>
        <v>612.55759992593278</v>
      </c>
      <c r="S459" s="18">
        <f t="shared" si="373"/>
        <v>1.5691638265299463</v>
      </c>
      <c r="T459" s="18" t="str">
        <f t="shared" si="362"/>
        <v>1+2.85859832381956i</v>
      </c>
      <c r="U459" s="18">
        <f t="shared" si="374"/>
        <v>3.0284623783273248</v>
      </c>
      <c r="V459" s="18">
        <f t="shared" si="375"/>
        <v>1.2342802724766369</v>
      </c>
      <c r="W459" s="32" t="str">
        <f t="shared" si="363"/>
        <v>1-3.94784451500504i</v>
      </c>
      <c r="X459" s="18">
        <f t="shared" si="376"/>
        <v>4.072527018284271</v>
      </c>
      <c r="Y459" s="18">
        <f t="shared" si="377"/>
        <v>-1.3227115864252161</v>
      </c>
      <c r="Z459" s="32" t="str">
        <f t="shared" si="364"/>
        <v>0.735722620796961+1.93758862940363i</v>
      </c>
      <c r="AA459" s="18">
        <f t="shared" si="378"/>
        <v>2.0725678448597495</v>
      </c>
      <c r="AB459" s="18">
        <f t="shared" si="379"/>
        <v>1.2079023691986956</v>
      </c>
      <c r="AC459" s="68" t="str">
        <f t="shared" si="380"/>
        <v>-0.217813835684694-0.0617134788108181i</v>
      </c>
      <c r="AD459" s="66">
        <f t="shared" si="381"/>
        <v>-12.902940932144338</v>
      </c>
      <c r="AE459" s="63">
        <f t="shared" si="382"/>
        <v>-164.18091350975251</v>
      </c>
      <c r="AF459" s="51" t="e">
        <f t="shared" si="383"/>
        <v>#NUM!</v>
      </c>
      <c r="AG459" s="51" t="str">
        <f t="shared" si="365"/>
        <v>1-857.579497145869i</v>
      </c>
      <c r="AH459" s="51">
        <f t="shared" si="384"/>
        <v>857.5800801819978</v>
      </c>
      <c r="AI459" s="51">
        <f t="shared" si="385"/>
        <v>-1.5696302546697039</v>
      </c>
      <c r="AJ459" s="51" t="str">
        <f t="shared" si="366"/>
        <v>1+2.85859832381956i</v>
      </c>
      <c r="AK459" s="51">
        <f t="shared" si="386"/>
        <v>3.0284623783273248</v>
      </c>
      <c r="AL459" s="51">
        <f t="shared" si="387"/>
        <v>1.2342802724766369</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-0.000170731707317073</v>
      </c>
      <c r="AT459" s="32" t="str">
        <f t="shared" si="369"/>
        <v>0.0613710374605329i</v>
      </c>
      <c r="AU459" s="32">
        <f t="shared" si="393"/>
        <v>6.13710374605329E-2</v>
      </c>
      <c r="AV459" s="32">
        <f t="shared" si="394"/>
        <v>1.5707963267948966</v>
      </c>
      <c r="AW459" s="32" t="str">
        <f t="shared" si="370"/>
        <v>1+13.0664208842564i</v>
      </c>
      <c r="AX459" s="32">
        <f t="shared" si="395"/>
        <v>13.104631041144644</v>
      </c>
      <c r="AY459" s="32">
        <f t="shared" si="396"/>
        <v>1.4944131721013414</v>
      </c>
      <c r="AZ459" s="32" t="str">
        <f t="shared" si="371"/>
        <v>1+248.261996800871i</v>
      </c>
      <c r="BA459" s="32">
        <f t="shared" si="397"/>
        <v>248.26401079406511</v>
      </c>
      <c r="BB459" s="32">
        <f t="shared" si="398"/>
        <v>1.5667683458527064</v>
      </c>
      <c r="BC459" s="60" t="str">
        <f t="shared" si="399"/>
        <v>-0.00381004645272151+0.0525656294960675i</v>
      </c>
      <c r="BD459" s="51">
        <f t="shared" si="400"/>
        <v>-25.563206246952952</v>
      </c>
      <c r="BE459" s="63">
        <f t="shared" si="401"/>
        <v>94.145646081888955</v>
      </c>
      <c r="BF459" s="60" t="str">
        <f t="shared" si="402"/>
        <v>0.00407388869408701-0.0112143901646907i</v>
      </c>
      <c r="BG459" s="66">
        <f t="shared" si="403"/>
        <v>-38.466147179097284</v>
      </c>
      <c r="BH459" s="63">
        <f t="shared" si="404"/>
        <v>-70.035267427863602</v>
      </c>
      <c r="BI459" s="60" t="e">
        <f t="shared" si="409"/>
        <v>#NUM!</v>
      </c>
      <c r="BJ459" s="66" t="e">
        <f t="shared" si="405"/>
        <v>#NUM!</v>
      </c>
      <c r="BK459" s="63" t="e">
        <f t="shared" si="410"/>
        <v>#NUM!</v>
      </c>
      <c r="BL459" s="51">
        <f t="shared" si="406"/>
        <v>-38.466147179097284</v>
      </c>
      <c r="BM459" s="63">
        <f t="shared" si="407"/>
        <v>-70.035267427863602</v>
      </c>
    </row>
    <row r="460" spans="14:65" x14ac:dyDescent="0.3">
      <c r="N460" s="11">
        <v>42</v>
      </c>
      <c r="O460" s="52">
        <f t="shared" si="408"/>
        <v>263026.79918953858</v>
      </c>
      <c r="P460" s="50" t="str">
        <f t="shared" si="360"/>
        <v>23.3035714285714</v>
      </c>
      <c r="Q460" s="18" t="str">
        <f t="shared" si="361"/>
        <v>1+626.825064109298i</v>
      </c>
      <c r="R460" s="18">
        <f t="shared" si="372"/>
        <v>626.82586177951009</v>
      </c>
      <c r="S460" s="18">
        <f t="shared" si="373"/>
        <v>1.5692009867089816</v>
      </c>
      <c r="T460" s="18" t="str">
        <f t="shared" si="362"/>
        <v>1+2.92518363251006i</v>
      </c>
      <c r="U460" s="18">
        <f t="shared" si="374"/>
        <v>3.0913911567294017</v>
      </c>
      <c r="V460" s="18">
        <f t="shared" si="375"/>
        <v>1.2413925048186447</v>
      </c>
      <c r="W460" s="32" t="str">
        <f t="shared" si="363"/>
        <v>1-4.03980162681866i</v>
      </c>
      <c r="X460" s="18">
        <f t="shared" si="376"/>
        <v>4.1617300710217489</v>
      </c>
      <c r="Y460" s="18">
        <f t="shared" si="377"/>
        <v>-1.3281372088882808</v>
      </c>
      <c r="Z460" s="32" t="str">
        <f t="shared" si="364"/>
        <v>0.723267611632425+1.9827208663916i</v>
      </c>
      <c r="AA460" s="18">
        <f t="shared" si="378"/>
        <v>2.1105208058820764</v>
      </c>
      <c r="AB460" s="18">
        <f t="shared" si="379"/>
        <v>1.221010861250216</v>
      </c>
      <c r="AC460" s="68" t="str">
        <f t="shared" si="380"/>
        <v>-0.218738690755649-0.0592764120949895i</v>
      </c>
      <c r="AD460" s="66">
        <f t="shared" si="381"/>
        <v>-12.893723816800938</v>
      </c>
      <c r="AE460" s="63">
        <f t="shared" si="382"/>
        <v>-164.83746827376171</v>
      </c>
      <c r="AF460" s="51" t="e">
        <f t="shared" si="383"/>
        <v>#NUM!</v>
      </c>
      <c r="AG460" s="51" t="str">
        <f t="shared" si="365"/>
        <v>1-877.55508975302i</v>
      </c>
      <c r="AH460" s="51">
        <f t="shared" si="384"/>
        <v>877.55565951763469</v>
      </c>
      <c r="AI460" s="51">
        <f t="shared" si="385"/>
        <v>-1.5696567976885938</v>
      </c>
      <c r="AJ460" s="51" t="str">
        <f t="shared" si="366"/>
        <v>1+2.92518363251006i</v>
      </c>
      <c r="AK460" s="51">
        <f t="shared" si="386"/>
        <v>3.0913911567294017</v>
      </c>
      <c r="AL460" s="51">
        <f t="shared" si="387"/>
        <v>1.2413925048186447</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-0.000170731707317073</v>
      </c>
      <c r="AT460" s="32" t="str">
        <f t="shared" si="369"/>
        <v>0.062800552562363i</v>
      </c>
      <c r="AU460" s="32">
        <f t="shared" si="393"/>
        <v>6.2800552562362999E-2</v>
      </c>
      <c r="AV460" s="32">
        <f t="shared" si="394"/>
        <v>1.5707963267948966</v>
      </c>
      <c r="AW460" s="32" t="str">
        <f t="shared" si="370"/>
        <v>1+13.3707769250504i</v>
      </c>
      <c r="AX460" s="32">
        <f t="shared" si="395"/>
        <v>13.408119763018984</v>
      </c>
      <c r="AY460" s="32">
        <f t="shared" si="396"/>
        <v>1.496145337921637</v>
      </c>
      <c r="AZ460" s="32" t="str">
        <f t="shared" si="371"/>
        <v>1+254.044761575958i</v>
      </c>
      <c r="BA460" s="32">
        <f t="shared" si="397"/>
        <v>254.04672972542937</v>
      </c>
      <c r="BB460" s="32">
        <f t="shared" si="398"/>
        <v>1.5668600329347591</v>
      </c>
      <c r="BC460" s="60" t="str">
        <f t="shared" si="399"/>
        <v>-0.0036395199614207+0.0513818433576334i</v>
      </c>
      <c r="BD460" s="51">
        <f t="shared" si="400"/>
        <v>-25.762071068594675</v>
      </c>
      <c r="BE460" s="63">
        <f t="shared" si="401"/>
        <v>94.051653573806703</v>
      </c>
      <c r="BF460" s="60" t="str">
        <f t="shared" si="402"/>
        <v>0.00384183515240749-0.0110234594595995i</v>
      </c>
      <c r="BG460" s="66">
        <f t="shared" si="403"/>
        <v>-38.655794885395586</v>
      </c>
      <c r="BH460" s="63">
        <f t="shared" si="404"/>
        <v>-70.785814699955068</v>
      </c>
      <c r="BI460" s="60" t="e">
        <f t="shared" si="409"/>
        <v>#NUM!</v>
      </c>
      <c r="BJ460" s="66" t="e">
        <f t="shared" si="405"/>
        <v>#NUM!</v>
      </c>
      <c r="BK460" s="63" t="e">
        <f t="shared" si="410"/>
        <v>#NUM!</v>
      </c>
      <c r="BL460" s="51">
        <f t="shared" si="406"/>
        <v>-38.655794885395586</v>
      </c>
      <c r="BM460" s="63">
        <f t="shared" si="407"/>
        <v>-70.785814699955068</v>
      </c>
    </row>
    <row r="461" spans="14:65" x14ac:dyDescent="0.3">
      <c r="N461" s="11">
        <v>43</v>
      </c>
      <c r="O461" s="52">
        <f t="shared" si="408"/>
        <v>269153.48039269145</v>
      </c>
      <c r="P461" s="50" t="str">
        <f t="shared" si="360"/>
        <v>23.3035714285714</v>
      </c>
      <c r="Q461" s="18" t="str">
        <f t="shared" si="361"/>
        <v>1+641.425695488981i</v>
      </c>
      <c r="R461" s="18">
        <f t="shared" si="372"/>
        <v>641.42647500202463</v>
      </c>
      <c r="S461" s="18">
        <f t="shared" si="373"/>
        <v>1.5692373010233294</v>
      </c>
      <c r="T461" s="18" t="str">
        <f t="shared" si="362"/>
        <v>1+2.99331991228191i</v>
      </c>
      <c r="U461" s="18">
        <f t="shared" si="374"/>
        <v>3.15594107949806</v>
      </c>
      <c r="V461" s="18">
        <f t="shared" si="375"/>
        <v>1.2483764223310592</v>
      </c>
      <c r="W461" s="32" t="str">
        <f t="shared" si="363"/>
        <v>1-4.13390069492794i</v>
      </c>
      <c r="X461" s="18">
        <f t="shared" si="376"/>
        <v>4.2531323698570329</v>
      </c>
      <c r="Y461" s="18">
        <f t="shared" si="377"/>
        <v>-1.3334534486610212</v>
      </c>
      <c r="Z461" s="32" t="str">
        <f t="shared" si="364"/>
        <v>0.710225615970003+2.02890436822735i</v>
      </c>
      <c r="AA461" s="18">
        <f t="shared" si="378"/>
        <v>2.1496216785732307</v>
      </c>
      <c r="AB461" s="18">
        <f t="shared" si="379"/>
        <v>1.2340736093231528</v>
      </c>
      <c r="AC461" s="68" t="str">
        <f t="shared" si="380"/>
        <v>-0.219623151946206-0.0568293335234355i</v>
      </c>
      <c r="AD461" s="66">
        <f t="shared" si="381"/>
        <v>-12.884972884464334</v>
      </c>
      <c r="AE461" s="63">
        <f t="shared" si="382"/>
        <v>-165.49243836806036</v>
      </c>
      <c r="AF461" s="51" t="e">
        <f t="shared" si="383"/>
        <v>#NUM!</v>
      </c>
      <c r="AG461" s="51" t="str">
        <f t="shared" si="365"/>
        <v>1-897.995973684575i</v>
      </c>
      <c r="AH461" s="51">
        <f t="shared" si="384"/>
        <v>897.99653047977199</v>
      </c>
      <c r="AI461" s="51">
        <f t="shared" si="385"/>
        <v>-1.569682736516161</v>
      </c>
      <c r="AJ461" s="51" t="str">
        <f t="shared" si="366"/>
        <v>1+2.99331991228191i</v>
      </c>
      <c r="AK461" s="51">
        <f t="shared" si="386"/>
        <v>3.15594107949806</v>
      </c>
      <c r="AL461" s="51">
        <f t="shared" si="387"/>
        <v>1.2483764223310592</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-0.000170731707317073</v>
      </c>
      <c r="AT461" s="32" t="str">
        <f t="shared" si="369"/>
        <v>0.0642633653484251i</v>
      </c>
      <c r="AU461" s="32">
        <f t="shared" si="393"/>
        <v>6.4263365348425097E-2</v>
      </c>
      <c r="AV461" s="32">
        <f t="shared" si="394"/>
        <v>1.5707963267948966</v>
      </c>
      <c r="AW461" s="32" t="str">
        <f t="shared" si="370"/>
        <v>1+13.6822223287533i</v>
      </c>
      <c r="AX461" s="32">
        <f t="shared" si="395"/>
        <v>13.718717427421391</v>
      </c>
      <c r="AY461" s="32">
        <f t="shared" si="396"/>
        <v>1.4978385086128134</v>
      </c>
      <c r="AZ461" s="32" t="str">
        <f t="shared" si="371"/>
        <v>1+259.962224246314i</v>
      </c>
      <c r="BA461" s="32">
        <f t="shared" si="397"/>
        <v>259.9641475955691</v>
      </c>
      <c r="BB461" s="32">
        <f t="shared" si="398"/>
        <v>1.566949633027972</v>
      </c>
      <c r="BC461" s="60" t="str">
        <f t="shared" si="399"/>
        <v>-0.00347658494428432+0.0502241583303197i</v>
      </c>
      <c r="BD461" s="51">
        <f t="shared" si="400"/>
        <v>-25.960986703073434</v>
      </c>
      <c r="BE461" s="63">
        <f t="shared" si="401"/>
        <v>93.959775746392125</v>
      </c>
      <c r="BF461" s="60" t="str">
        <f t="shared" si="402"/>
        <v>0.00361774398816002-0.0108328159510288i</v>
      </c>
      <c r="BG461" s="66">
        <f t="shared" si="403"/>
        <v>-38.845959587537784</v>
      </c>
      <c r="BH461" s="63">
        <f t="shared" si="404"/>
        <v>-71.532662621668166</v>
      </c>
      <c r="BI461" s="60" t="e">
        <f t="shared" si="409"/>
        <v>#NUM!</v>
      </c>
      <c r="BJ461" s="66" t="e">
        <f t="shared" si="405"/>
        <v>#NUM!</v>
      </c>
      <c r="BK461" s="63" t="e">
        <f t="shared" si="410"/>
        <v>#NUM!</v>
      </c>
      <c r="BL461" s="51">
        <f t="shared" si="406"/>
        <v>-38.845959587537784</v>
      </c>
      <c r="BM461" s="63">
        <f t="shared" si="407"/>
        <v>-71.532662621668166</v>
      </c>
    </row>
    <row r="462" spans="14:65" x14ac:dyDescent="0.3">
      <c r="N462" s="11">
        <v>44</v>
      </c>
      <c r="O462" s="52">
        <f t="shared" si="408"/>
        <v>275422.87033381703</v>
      </c>
      <c r="P462" s="50" t="str">
        <f t="shared" si="360"/>
        <v>23.3035714285714</v>
      </c>
      <c r="Q462" s="18" t="str">
        <f t="shared" si="361"/>
        <v>1+656.366419262684i</v>
      </c>
      <c r="R462" s="18">
        <f t="shared" si="372"/>
        <v>656.36718103186536</v>
      </c>
      <c r="S462" s="18">
        <f t="shared" si="373"/>
        <v>1.5692727887269369</v>
      </c>
      <c r="T462" s="18" t="str">
        <f t="shared" si="362"/>
        <v>1+3.06304328989253i</v>
      </c>
      <c r="U462" s="18">
        <f t="shared" si="374"/>
        <v>3.2221474509642873</v>
      </c>
      <c r="V462" s="18">
        <f t="shared" si="375"/>
        <v>1.255233001948413</v>
      </c>
      <c r="W462" s="32" t="str">
        <f t="shared" si="363"/>
        <v>1-4.23019161190431i</v>
      </c>
      <c r="X462" s="18">
        <f t="shared" si="376"/>
        <v>4.3467828417607404</v>
      </c>
      <c r="Y462" s="18">
        <f t="shared" si="377"/>
        <v>-1.3386619219657854</v>
      </c>
      <c r="Z462" s="32" t="str">
        <f t="shared" si="364"/>
        <v>0.696568969988324+2.07616362201486i</v>
      </c>
      <c r="AA462" s="18">
        <f t="shared" si="378"/>
        <v>2.1899003893621409</v>
      </c>
      <c r="AB462" s="18">
        <f t="shared" si="379"/>
        <v>1.2470900823386257</v>
      </c>
      <c r="AC462" s="68" t="str">
        <f t="shared" si="380"/>
        <v>-0.220466622082875-0.0543728575235565i</v>
      </c>
      <c r="AD462" s="66">
        <f t="shared" si="381"/>
        <v>-12.8767075851522</v>
      </c>
      <c r="AE462" s="63">
        <f t="shared" si="382"/>
        <v>-166.14583109573397</v>
      </c>
      <c r="AF462" s="51" t="e">
        <f t="shared" si="383"/>
        <v>#NUM!</v>
      </c>
      <c r="AG462" s="51" t="str">
        <f t="shared" si="365"/>
        <v>1-918.91298696776i</v>
      </c>
      <c r="AH462" s="51">
        <f t="shared" si="384"/>
        <v>918.91353108875853</v>
      </c>
      <c r="AI462" s="51">
        <f t="shared" si="385"/>
        <v>-1.5697080849053757</v>
      </c>
      <c r="AJ462" s="51" t="str">
        <f t="shared" si="366"/>
        <v>1+3.06304328989253i</v>
      </c>
      <c r="AK462" s="51">
        <f t="shared" si="386"/>
        <v>3.2221474509642873</v>
      </c>
      <c r="AL462" s="51">
        <f t="shared" si="387"/>
        <v>1.255233001948413</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-0.000170731707317073</v>
      </c>
      <c r="AT462" s="32" t="str">
        <f t="shared" si="369"/>
        <v>0.0657602514214214i</v>
      </c>
      <c r="AU462" s="32">
        <f t="shared" si="393"/>
        <v>6.5760251421421403E-2</v>
      </c>
      <c r="AV462" s="32">
        <f t="shared" si="394"/>
        <v>1.5707963267948966</v>
      </c>
      <c r="AW462" s="32" t="str">
        <f t="shared" si="370"/>
        <v>1+14.0009222278406i</v>
      </c>
      <c r="AX462" s="32">
        <f t="shared" si="395"/>
        <v>14.03658873195482</v>
      </c>
      <c r="AY462" s="32">
        <f t="shared" si="396"/>
        <v>1.4994935430624114</v>
      </c>
      <c r="AZ462" s="32" t="str">
        <f t="shared" si="371"/>
        <v>1+266.017522328971i</v>
      </c>
      <c r="BA462" s="32">
        <f t="shared" si="397"/>
        <v>266.01940189776491</v>
      </c>
      <c r="BB462" s="32">
        <f t="shared" si="398"/>
        <v>1.5670371936337426</v>
      </c>
      <c r="BC462" s="60" t="str">
        <f t="shared" si="399"/>
        <v>-0.00332090701697168+0.0490920360310622i</v>
      </c>
      <c r="BD462" s="51">
        <f t="shared" si="400"/>
        <v>-26.159950887821925</v>
      </c>
      <c r="BE462" s="63">
        <f t="shared" si="401"/>
        <v>93.869966110643674</v>
      </c>
      <c r="BF462" s="60" t="str">
        <f t="shared" si="402"/>
        <v>0.00340142343294131-0.0106425881508563i</v>
      </c>
      <c r="BG462" s="66">
        <f t="shared" si="403"/>
        <v>-39.036658472974118</v>
      </c>
      <c r="BH462" s="63">
        <f t="shared" si="404"/>
        <v>-72.275864985090294</v>
      </c>
      <c r="BI462" s="60" t="e">
        <f t="shared" si="409"/>
        <v>#NUM!</v>
      </c>
      <c r="BJ462" s="66" t="e">
        <f t="shared" si="405"/>
        <v>#NUM!</v>
      </c>
      <c r="BK462" s="63" t="e">
        <f t="shared" si="410"/>
        <v>#NUM!</v>
      </c>
      <c r="BL462" s="51">
        <f t="shared" si="406"/>
        <v>-39.036658472974118</v>
      </c>
      <c r="BM462" s="63">
        <f t="shared" si="407"/>
        <v>-72.275864985090294</v>
      </c>
    </row>
    <row r="463" spans="14:65" x14ac:dyDescent="0.3">
      <c r="N463" s="11">
        <v>45</v>
      </c>
      <c r="O463" s="52">
        <f t="shared" si="408"/>
        <v>281838.29312644573</v>
      </c>
      <c r="P463" s="50" t="str">
        <f t="shared" si="360"/>
        <v>23.3035714285714</v>
      </c>
      <c r="Q463" s="18" t="str">
        <f t="shared" si="361"/>
        <v>1+671.655157199916i</v>
      </c>
      <c r="R463" s="18">
        <f t="shared" si="372"/>
        <v>671.65590162913315</v>
      </c>
      <c r="S463" s="18">
        <f t="shared" si="373"/>
        <v>1.5693074686354964</v>
      </c>
      <c r="T463" s="18" t="str">
        <f t="shared" si="362"/>
        <v>1+3.13439073359961i</v>
      </c>
      <c r="U463" s="18">
        <f t="shared" si="374"/>
        <v>3.2900463934229109</v>
      </c>
      <c r="V463" s="18">
        <f t="shared" si="375"/>
        <v>1.2619632994753591</v>
      </c>
      <c r="W463" s="32" t="str">
        <f t="shared" si="363"/>
        <v>1-4.3287254324665i</v>
      </c>
      <c r="X463" s="18">
        <f t="shared" si="376"/>
        <v>4.4427315774962466</v>
      </c>
      <c r="Y463" s="18">
        <f t="shared" si="377"/>
        <v>-1.3437642595363049</v>
      </c>
      <c r="Z463" s="32" t="str">
        <f t="shared" si="364"/>
        <v>0.682268706110285+2.12452368523604i</v>
      </c>
      <c r="AA463" s="18">
        <f t="shared" si="378"/>
        <v>2.231387791592113</v>
      </c>
      <c r="AB463" s="18">
        <f t="shared" si="379"/>
        <v>1.2600599715293144</v>
      </c>
      <c r="AC463" s="68" t="str">
        <f t="shared" si="380"/>
        <v>-0.221268551272713-0.0519075928091096i</v>
      </c>
      <c r="AD463" s="66">
        <f t="shared" si="381"/>
        <v>-12.868946127037834</v>
      </c>
      <c r="AE463" s="63">
        <f t="shared" si="382"/>
        <v>-166.7976627847876</v>
      </c>
      <c r="AF463" s="51" t="e">
        <f t="shared" si="383"/>
        <v>#NUM!</v>
      </c>
      <c r="AG463" s="51" t="str">
        <f t="shared" si="365"/>
        <v>1-940.317220079885i</v>
      </c>
      <c r="AH463" s="51">
        <f t="shared" si="384"/>
        <v>940.31775181518447</v>
      </c>
      <c r="AI463" s="51">
        <f t="shared" si="385"/>
        <v>-1.5697328562961588</v>
      </c>
      <c r="AJ463" s="51" t="str">
        <f t="shared" si="366"/>
        <v>1+3.13439073359961i</v>
      </c>
      <c r="AK463" s="51">
        <f t="shared" si="386"/>
        <v>3.2900463934229109</v>
      </c>
      <c r="AL463" s="51">
        <f t="shared" si="387"/>
        <v>1.2619632994753591</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-0.000170731707317073</v>
      </c>
      <c r="AT463" s="32" t="str">
        <f t="shared" si="369"/>
        <v>0.067292004450161i</v>
      </c>
      <c r="AU463" s="32">
        <f t="shared" si="393"/>
        <v>6.7292004450160994E-2</v>
      </c>
      <c r="AV463" s="32">
        <f t="shared" si="394"/>
        <v>1.5707963267948966</v>
      </c>
      <c r="AW463" s="32" t="str">
        <f t="shared" si="370"/>
        <v>1+14.3270456012171i</v>
      </c>
      <c r="AX463" s="32">
        <f t="shared" si="395"/>
        <v>14.361902229835509</v>
      </c>
      <c r="AY463" s="32">
        <f t="shared" si="396"/>
        <v>1.5011112825043085</v>
      </c>
      <c r="AZ463" s="32" t="str">
        <f t="shared" si="371"/>
        <v>1+272.213866423125i</v>
      </c>
      <c r="BA463" s="32">
        <f t="shared" si="397"/>
        <v>272.21570320800186</v>
      </c>
      <c r="BB463" s="32">
        <f t="shared" si="398"/>
        <v>1.5671227611724896</v>
      </c>
      <c r="BC463" s="60" t="str">
        <f t="shared" si="399"/>
        <v>-0.00317216621096567+0.0479849466818794i</v>
      </c>
      <c r="BD463" s="51">
        <f t="shared" si="400"/>
        <v>-26.358961459975223</v>
      </c>
      <c r="BE463" s="63">
        <f t="shared" si="401"/>
        <v>93.782179127104627</v>
      </c>
      <c r="BF463" s="60" t="str">
        <f t="shared" si="402"/>
        <v>0.00319268369522646-0.0104529001231962i</v>
      </c>
      <c r="BG463" s="66">
        <f t="shared" si="403"/>
        <v>-39.227907587013064</v>
      </c>
      <c r="BH463" s="63">
        <f t="shared" si="404"/>
        <v>-73.015483657682921</v>
      </c>
      <c r="BI463" s="60" t="e">
        <f t="shared" si="409"/>
        <v>#NUM!</v>
      </c>
      <c r="BJ463" s="66" t="e">
        <f t="shared" si="405"/>
        <v>#NUM!</v>
      </c>
      <c r="BK463" s="63" t="e">
        <f t="shared" si="410"/>
        <v>#NUM!</v>
      </c>
      <c r="BL463" s="51">
        <f t="shared" si="406"/>
        <v>-39.227907587013064</v>
      </c>
      <c r="BM463" s="63">
        <f t="shared" si="407"/>
        <v>-73.015483657682921</v>
      </c>
    </row>
    <row r="464" spans="14:65" x14ac:dyDescent="0.3">
      <c r="N464" s="11">
        <v>46</v>
      </c>
      <c r="O464" s="52">
        <f t="shared" si="408"/>
        <v>288403.1503126609</v>
      </c>
      <c r="P464" s="50" t="str">
        <f t="shared" si="360"/>
        <v>23.3035714285714</v>
      </c>
      <c r="Q464" s="18" t="str">
        <f t="shared" si="361"/>
        <v>1+687.300015591903i</v>
      </c>
      <c r="R464" s="18">
        <f t="shared" si="372"/>
        <v>687.30074307586062</v>
      </c>
      <c r="S464" s="18">
        <f t="shared" si="373"/>
        <v>1.5693413591364207</v>
      </c>
      <c r="T464" s="18" t="str">
        <f t="shared" si="362"/>
        <v>1+3.20740007276221i</v>
      </c>
      <c r="U464" s="18">
        <f t="shared" si="374"/>
        <v>3.3596748692031242</v>
      </c>
      <c r="V464" s="18">
        <f t="shared" si="375"/>
        <v>1.2685684436631619</v>
      </c>
      <c r="W464" s="32" t="str">
        <f t="shared" si="363"/>
        <v>1-4.42955440055045i</v>
      </c>
      <c r="X464" s="18">
        <f t="shared" si="376"/>
        <v>4.5410298597824541</v>
      </c>
      <c r="Y464" s="18">
        <f t="shared" si="377"/>
        <v>-1.3487621035595558</v>
      </c>
      <c r="Z464" s="32" t="str">
        <f t="shared" si="364"/>
        <v>0.667294491558929+2.17401019903652i</v>
      </c>
      <c r="AA464" s="18">
        <f t="shared" si="378"/>
        <v>2.2741157147295081</v>
      </c>
      <c r="AB464" s="18">
        <f t="shared" si="379"/>
        <v>1.2729831858258887</v>
      </c>
      <c r="AC464" s="68" t="str">
        <f t="shared" si="380"/>
        <v>-0.22202843330801-0.049434139612112i</v>
      </c>
      <c r="AD464" s="66">
        <f t="shared" si="381"/>
        <v>-12.861705592692774</v>
      </c>
      <c r="AE464" s="63">
        <f t="shared" si="382"/>
        <v>-167.4479586885534</v>
      </c>
      <c r="AF464" s="51" t="e">
        <f t="shared" si="383"/>
        <v>#NUM!</v>
      </c>
      <c r="AG464" s="51" t="str">
        <f t="shared" si="365"/>
        <v>1-962.220021828666i</v>
      </c>
      <c r="AH464" s="51">
        <f t="shared" si="384"/>
        <v>962.220541460199</v>
      </c>
      <c r="AI464" s="51">
        <f t="shared" si="385"/>
        <v>-1.569757063822508</v>
      </c>
      <c r="AJ464" s="51" t="str">
        <f t="shared" si="366"/>
        <v>1+3.20740007276221i</v>
      </c>
      <c r="AK464" s="51">
        <f t="shared" si="386"/>
        <v>3.3596748692031242</v>
      </c>
      <c r="AL464" s="51">
        <f t="shared" si="387"/>
        <v>1.2685684436631619</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-0.000170731707317073</v>
      </c>
      <c r="AT464" s="32" t="str">
        <f t="shared" si="369"/>
        <v>0.068859436590375i</v>
      </c>
      <c r="AU464" s="32">
        <f t="shared" si="393"/>
        <v>6.8859436590374995E-2</v>
      </c>
      <c r="AV464" s="32">
        <f t="shared" si="394"/>
        <v>1.5707963267948966</v>
      </c>
      <c r="AW464" s="32" t="str">
        <f t="shared" si="370"/>
        <v>1+14.6607653638123i</v>
      </c>
      <c r="AX464" s="32">
        <f t="shared" si="395"/>
        <v>14.69483041932633</v>
      </c>
      <c r="AY464" s="32">
        <f t="shared" si="396"/>
        <v>1.502692550796316</v>
      </c>
      <c r="AZ464" s="32" t="str">
        <f t="shared" si="371"/>
        <v>1+278.554541912434i</v>
      </c>
      <c r="BA464" s="32">
        <f t="shared" si="397"/>
        <v>278.5563368872551</v>
      </c>
      <c r="BB464" s="32">
        <f t="shared" si="398"/>
        <v>1.5672063810082395</v>
      </c>
      <c r="BC464" s="60" t="str">
        <f t="shared" si="399"/>
        <v>-0.00303005637959549+0.0469023691499708i</v>
      </c>
      <c r="BD464" s="51">
        <f t="shared" si="400"/>
        <v>-26.558016352069632</v>
      </c>
      <c r="BE464" s="63">
        <f t="shared" si="401"/>
        <v>93.696370191366782</v>
      </c>
      <c r="BF464" s="60" t="str">
        <f t="shared" si="402"/>
        <v>0.002991336935495-0.0102638713107005i</v>
      </c>
      <c r="BG464" s="66">
        <f t="shared" si="403"/>
        <v>-39.419721944762379</v>
      </c>
      <c r="BH464" s="63">
        <f t="shared" si="404"/>
        <v>-73.751588497186674</v>
      </c>
      <c r="BI464" s="60" t="e">
        <f t="shared" si="409"/>
        <v>#NUM!</v>
      </c>
      <c r="BJ464" s="66" t="e">
        <f t="shared" si="405"/>
        <v>#NUM!</v>
      </c>
      <c r="BK464" s="63" t="e">
        <f t="shared" si="410"/>
        <v>#NUM!</v>
      </c>
      <c r="BL464" s="51">
        <f t="shared" si="406"/>
        <v>-39.419721944762379</v>
      </c>
      <c r="BM464" s="63">
        <f t="shared" si="407"/>
        <v>-73.751588497186674</v>
      </c>
    </row>
    <row r="465" spans="14:65" x14ac:dyDescent="0.3">
      <c r="N465" s="11">
        <v>47</v>
      </c>
      <c r="O465" s="52">
        <f t="shared" si="408"/>
        <v>295120.92266663886</v>
      </c>
      <c r="P465" s="50" t="str">
        <f t="shared" si="360"/>
        <v>23.3035714285714</v>
      </c>
      <c r="Q465" s="18" t="str">
        <f t="shared" si="361"/>
        <v>1+703.309289549646i</v>
      </c>
      <c r="R465" s="18">
        <f t="shared" si="372"/>
        <v>703.31000047406394</v>
      </c>
      <c r="S465" s="18">
        <f t="shared" si="373"/>
        <v>1.5693744781985901</v>
      </c>
      <c r="T465" s="18" t="str">
        <f t="shared" si="362"/>
        <v>1+3.28211001789835i</v>
      </c>
      <c r="U465" s="18">
        <f t="shared" si="374"/>
        <v>3.4310707030879897</v>
      </c>
      <c r="V465" s="18">
        <f t="shared" si="375"/>
        <v>1.2750496304753749</v>
      </c>
      <c r="W465" s="32" t="str">
        <f t="shared" si="363"/>
        <v>1-4.53273197700965i</v>
      </c>
      <c r="X465" s="18">
        <f t="shared" si="376"/>
        <v>4.6417301920087741</v>
      </c>
      <c r="Y465" s="18">
        <f t="shared" si="377"/>
        <v>-1.3536571048026924</v>
      </c>
      <c r="Z465" s="32" t="str">
        <f t="shared" si="364"/>
        <v>0.651614564017566+2.22464940182096i</v>
      </c>
      <c r="AA465" s="18">
        <f t="shared" si="378"/>
        <v>2.3181170162574101</v>
      </c>
      <c r="AB465" s="18">
        <f t="shared" si="379"/>
        <v>1.2858598466430831</v>
      </c>
      <c r="AC465" s="68" t="str">
        <f t="shared" si="380"/>
        <v>-0.22274580194093-0.046953087318439i</v>
      </c>
      <c r="AD465" s="66">
        <f t="shared" si="381"/>
        <v>-12.85500205410238</v>
      </c>
      <c r="AE465" s="63">
        <f t="shared" si="382"/>
        <v>-168.09675285145124</v>
      </c>
      <c r="AF465" s="51" t="e">
        <f t="shared" si="383"/>
        <v>#NUM!</v>
      </c>
      <c r="AG465" s="51" t="str">
        <f t="shared" si="365"/>
        <v>1-984.633005369507i</v>
      </c>
      <c r="AH465" s="51">
        <f t="shared" si="384"/>
        <v>984.63351317278841</v>
      </c>
      <c r="AI465" s="51">
        <f t="shared" si="385"/>
        <v>-1.5697807203194607</v>
      </c>
      <c r="AJ465" s="51" t="str">
        <f t="shared" si="366"/>
        <v>1+3.28211001789835i</v>
      </c>
      <c r="AK465" s="51">
        <f t="shared" si="386"/>
        <v>3.4310707030879897</v>
      </c>
      <c r="AL465" s="51">
        <f t="shared" si="387"/>
        <v>1.2750496304753749</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-0.000170731707317073</v>
      </c>
      <c r="AT465" s="32" t="str">
        <f t="shared" si="369"/>
        <v>0.0704633789153317i</v>
      </c>
      <c r="AU465" s="32">
        <f t="shared" si="393"/>
        <v>7.0463378915331706E-2</v>
      </c>
      <c r="AV465" s="32">
        <f t="shared" si="394"/>
        <v>1.5707963267948966</v>
      </c>
      <c r="AW465" s="32" t="str">
        <f t="shared" si="370"/>
        <v>1+15.0022584582615i</v>
      </c>
      <c r="AX465" s="32">
        <f t="shared" si="395"/>
        <v>15.035549835256399</v>
      </c>
      <c r="AY465" s="32">
        <f t="shared" si="396"/>
        <v>1.5042381546994912</v>
      </c>
      <c r="AZ465" s="32" t="str">
        <f t="shared" si="371"/>
        <v>1+285.042910706969i</v>
      </c>
      <c r="BA465" s="32">
        <f t="shared" si="397"/>
        <v>285.04466482342917</v>
      </c>
      <c r="BB465" s="32">
        <f t="shared" si="398"/>
        <v>1.5672880974726562</v>
      </c>
      <c r="BC465" s="60" t="str">
        <f t="shared" si="399"/>
        <v>-0.00289428462608776+0.0458437909719784i</v>
      </c>
      <c r="BD465" s="51">
        <f t="shared" si="400"/>
        <v>-26.757113587917608</v>
      </c>
      <c r="BE465" s="63">
        <f t="shared" si="401"/>
        <v>93.612495619443735</v>
      </c>
      <c r="BF465" s="60" t="str">
        <f t="shared" si="402"/>
        <v>0.00279719727059879-0.0100756163852926i</v>
      </c>
      <c r="BG465" s="66">
        <f t="shared" si="403"/>
        <v>-39.612115642019972</v>
      </c>
      <c r="BH465" s="63">
        <f t="shared" si="404"/>
        <v>-74.484257232007536</v>
      </c>
      <c r="BI465" s="60" t="e">
        <f t="shared" si="409"/>
        <v>#NUM!</v>
      </c>
      <c r="BJ465" s="66" t="e">
        <f t="shared" si="405"/>
        <v>#NUM!</v>
      </c>
      <c r="BK465" s="63" t="e">
        <f t="shared" si="410"/>
        <v>#NUM!</v>
      </c>
      <c r="BL465" s="51">
        <f t="shared" si="406"/>
        <v>-39.612115642019972</v>
      </c>
      <c r="BM465" s="63">
        <f t="shared" si="407"/>
        <v>-74.484257232007536</v>
      </c>
    </row>
    <row r="466" spans="14:65" x14ac:dyDescent="0.3">
      <c r="N466" s="11">
        <v>48</v>
      </c>
      <c r="O466" s="52">
        <f t="shared" si="408"/>
        <v>301995.17204020242</v>
      </c>
      <c r="P466" s="50" t="str">
        <f t="shared" si="360"/>
        <v>23.3035714285714</v>
      </c>
      <c r="Q466" s="18" t="str">
        <f t="shared" si="361"/>
        <v>1+719.691467402109i</v>
      </c>
      <c r="R466" s="18">
        <f t="shared" si="372"/>
        <v>719.69216214392725</v>
      </c>
      <c r="S466" s="18">
        <f t="shared" si="373"/>
        <v>1.5694068433818795</v>
      </c>
      <c r="T466" s="18" t="str">
        <f t="shared" si="362"/>
        <v>1+3.35856018120984i</v>
      </c>
      <c r="U466" s="18">
        <f t="shared" si="374"/>
        <v>3.5042726050934268</v>
      </c>
      <c r="V466" s="18">
        <f t="shared" si="375"/>
        <v>1.281408117550952</v>
      </c>
      <c r="W466" s="32" t="str">
        <f t="shared" si="363"/>
        <v>1-4.63831286796086i</v>
      </c>
      <c r="X466" s="18">
        <f t="shared" si="376"/>
        <v>4.7448863275205335</v>
      </c>
      <c r="Y466" s="18">
        <f t="shared" si="377"/>
        <v>-1.358450919919155</v>
      </c>
      <c r="Z466" s="32" t="str">
        <f t="shared" si="364"/>
        <v>0.635195664257634+2.27646814316496i</v>
      </c>
      <c r="AA466" s="18">
        <f t="shared" si="378"/>
        <v>2.3634256363881256</v>
      </c>
      <c r="AB466" s="18">
        <f t="shared" si="379"/>
        <v>1.2986902821157389</v>
      </c>
      <c r="AC466" s="68" t="str">
        <f t="shared" si="380"/>
        <v>-0.223420227065699-0.0444650125075015i</v>
      </c>
      <c r="AD466" s="66">
        <f t="shared" si="381"/>
        <v>-12.848850685978441</v>
      </c>
      <c r="AE466" s="63">
        <f t="shared" si="382"/>
        <v>-168.7440879421753</v>
      </c>
      <c r="AF466" s="51" t="e">
        <f t="shared" si="383"/>
        <v>#NUM!</v>
      </c>
      <c r="AG466" s="51" t="str">
        <f t="shared" si="365"/>
        <v>1-1007.56805436295i</v>
      </c>
      <c r="AH466" s="51">
        <f t="shared" si="384"/>
        <v>1007.5685506072231</v>
      </c>
      <c r="AI466" s="51">
        <f t="shared" si="385"/>
        <v>-1.5698038383298989</v>
      </c>
      <c r="AJ466" s="51" t="str">
        <f t="shared" si="366"/>
        <v>1+3.35856018120984i</v>
      </c>
      <c r="AK466" s="51">
        <f t="shared" si="386"/>
        <v>3.5042726050934268</v>
      </c>
      <c r="AL466" s="51">
        <f t="shared" si="387"/>
        <v>1.281408117550952</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-0.000170731707317073</v>
      </c>
      <c r="AT466" s="32" t="str">
        <f t="shared" si="369"/>
        <v>0.0721046818564825i</v>
      </c>
      <c r="AU466" s="32">
        <f t="shared" si="393"/>
        <v>7.21046818564825E-2</v>
      </c>
      <c r="AV466" s="32">
        <f t="shared" si="394"/>
        <v>1.5707963267948966</v>
      </c>
      <c r="AW466" s="32" t="str">
        <f t="shared" si="370"/>
        <v>1+15.3517059487236i</v>
      </c>
      <c r="AX466" s="32">
        <f t="shared" si="395"/>
        <v>15.384241142678295</v>
      </c>
      <c r="AY466" s="32">
        <f t="shared" si="396"/>
        <v>1.5057488841586262</v>
      </c>
      <c r="AZ466" s="32" t="str">
        <f t="shared" si="371"/>
        <v>1+291.68241302575i</v>
      </c>
      <c r="BA466" s="32">
        <f t="shared" si="397"/>
        <v>291.68412721388216</v>
      </c>
      <c r="BB466" s="32">
        <f t="shared" si="398"/>
        <v>1.5673679538885223</v>
      </c>
      <c r="BC466" s="60" t="str">
        <f t="shared" si="399"/>
        <v>-0.002764570753052+0.0448087083636696i</v>
      </c>
      <c r="BD466" s="51">
        <f t="shared" si="400"/>
        <v>-26.956251278654278</v>
      </c>
      <c r="BE466" s="63">
        <f t="shared" si="401"/>
        <v>93.530512633045348</v>
      </c>
      <c r="BF466" s="60" t="str">
        <f t="shared" si="402"/>
        <v>0.00261008080322162-0.00988824512401942i</v>
      </c>
      <c r="BG466" s="66">
        <f t="shared" si="403"/>
        <v>-39.805101964632719</v>
      </c>
      <c r="BH466" s="63">
        <f t="shared" si="404"/>
        <v>-75.213575309129965</v>
      </c>
      <c r="BI466" s="60" t="e">
        <f t="shared" si="409"/>
        <v>#NUM!</v>
      </c>
      <c r="BJ466" s="66" t="e">
        <f t="shared" si="405"/>
        <v>#NUM!</v>
      </c>
      <c r="BK466" s="63" t="e">
        <f t="shared" si="410"/>
        <v>#NUM!</v>
      </c>
      <c r="BL466" s="51">
        <f t="shared" si="406"/>
        <v>-39.805101964632719</v>
      </c>
      <c r="BM466" s="63">
        <f t="shared" si="407"/>
        <v>-75.213575309129965</v>
      </c>
    </row>
    <row r="467" spans="14:65" x14ac:dyDescent="0.3">
      <c r="N467" s="11">
        <v>49</v>
      </c>
      <c r="O467" s="52">
        <f t="shared" si="408"/>
        <v>309029.54325135931</v>
      </c>
      <c r="P467" s="50" t="str">
        <f t="shared" ref="P467:P530" si="411">COMPLEX(Adc,0)</f>
        <v>23.3035714285714</v>
      </c>
      <c r="Q467" s="18" t="str">
        <f t="shared" ref="Q467:Q530" si="412">IMSUM(COMPLEX(1,0),IMDIV(COMPLEX(0,2*PI()*O467),COMPLEX(wp_lf,0)))</f>
        <v>1+736.45523519683i</v>
      </c>
      <c r="R467" s="18">
        <f t="shared" si="372"/>
        <v>736.45591412440854</v>
      </c>
      <c r="S467" s="18">
        <f t="shared" si="373"/>
        <v>1.5694384718464656</v>
      </c>
      <c r="T467" s="18" t="str">
        <f t="shared" ref="T467:T530" si="413">IMSUM(COMPLEX(1,0),IMDIV(COMPLEX(0,2*PI()*O467),COMPLEX(wz_esr,0)))</f>
        <v>1+3.43679109758521i</v>
      </c>
      <c r="U467" s="18">
        <f t="shared" si="374"/>
        <v>3.5793201936179102</v>
      </c>
      <c r="V467" s="18">
        <f t="shared" si="375"/>
        <v>1.2876452188711578</v>
      </c>
      <c r="W467" s="32" t="str">
        <f t="shared" ref="W467:W530" si="414">IMSUB(COMPLEX(1,0),IMDIV(COMPLEX(0,2*PI()*O467),COMPLEX(wz_rhp,0)))</f>
        <v>1-4.74635305378999i</v>
      </c>
      <c r="X467" s="18">
        <f t="shared" si="376"/>
        <v>4.850553299492911</v>
      </c>
      <c r="Y467" s="18">
        <f t="shared" si="377"/>
        <v>-1.3631452089277887</v>
      </c>
      <c r="Z467" s="32" t="str">
        <f t="shared" ref="Z467:Z530" si="415">IMSUM(COMPLEX(1,0),IMDIV(COMPLEX(0,2*PI()*O467),COMPLEX(Q*(wsl/2),0)),IMDIV(IMPOWER(COMPLEX(0,2*PI()*O467),2),IMPOWER(COMPLEX(wsl/2,0),2)))</f>
        <v>0.618002965591424+2.32949389805108i</v>
      </c>
      <c r="AA467" s="18">
        <f t="shared" si="378"/>
        <v>2.4100766557387776</v>
      </c>
      <c r="AB467" s="18">
        <f t="shared" si="379"/>
        <v>1.3114750208343988</v>
      </c>
      <c r="AC467" s="68" t="str">
        <f t="shared" si="380"/>
        <v>-0.224051310844418-0.0419704773931562i</v>
      </c>
      <c r="AD467" s="66">
        <f t="shared" si="381"/>
        <v>-12.843265876952332</v>
      </c>
      <c r="AE467" s="63">
        <f t="shared" si="382"/>
        <v>-169.39001505643134</v>
      </c>
      <c r="AF467" s="51" t="e">
        <f t="shared" si="383"/>
        <v>#NUM!</v>
      </c>
      <c r="AG467" s="51" t="str">
        <f t="shared" ref="AG467:AG530" si="416">IMSUM(COMPLEX(1,0),IMDIV(COMPLEX(0,2*PI()*O467),COMPLEX(wp_lf_DCM,0)))</f>
        <v>1-1031.03732927556i</v>
      </c>
      <c r="AH467" s="51">
        <f t="shared" si="384"/>
        <v>1031.0378142239401</v>
      </c>
      <c r="AI467" s="51">
        <f t="shared" si="385"/>
        <v>-1.5698264301111984</v>
      </c>
      <c r="AJ467" s="51" t="str">
        <f t="shared" ref="AJ467:AJ530" si="417">IMSUM(COMPLEX(1,0),IMDIV(COMPLEX(0,2*PI()*O467),COMPLEX(wz1_dcm,0)))</f>
        <v>1+3.43679109758521i</v>
      </c>
      <c r="AK467" s="51">
        <f t="shared" si="386"/>
        <v>3.5793201936179102</v>
      </c>
      <c r="AL467" s="51">
        <f t="shared" si="387"/>
        <v>1.2876452188711578</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-0.000170731707317073</v>
      </c>
      <c r="AT467" s="32" t="str">
        <f t="shared" ref="AT467:AT530" si="420">COMPLEX(0,2*PI()*O467*wp0_ea)</f>
        <v>0.0737842156543717i</v>
      </c>
      <c r="AU467" s="32">
        <f t="shared" si="393"/>
        <v>7.3784215654371696E-2</v>
      </c>
      <c r="AV467" s="32">
        <f t="shared" si="394"/>
        <v>1.5707963267948966</v>
      </c>
      <c r="AW467" s="32" t="str">
        <f t="shared" ref="AW467:AW530" si="421">IMSUM(COMPLEX(1,0),IMDIV(COMPLEX(0,2*PI()*O467),COMPLEX(wp1_ea,0)))</f>
        <v>1+15.7092931168837i</v>
      </c>
      <c r="AX467" s="32">
        <f t="shared" si="395"/>
        <v>15.74108923271098</v>
      </c>
      <c r="AY467" s="32">
        <f t="shared" si="396"/>
        <v>1.5072255125834011</v>
      </c>
      <c r="AZ467" s="32" t="str">
        <f t="shared" ref="AZ467:AZ530" si="422">IMSUM(COMPLEX(1,0),IMDIV(COMPLEX(0,2*PI()*O467),COMPLEX(wz_ea,0)))</f>
        <v>1+298.47656922079i</v>
      </c>
      <c r="BA467" s="32">
        <f t="shared" si="397"/>
        <v>298.47824438945804</v>
      </c>
      <c r="BB467" s="32">
        <f t="shared" si="398"/>
        <v>1.5674459925926909</v>
      </c>
      <c r="BC467" s="60" t="str">
        <f t="shared" si="399"/>
        <v>-0.00264064673280276+0.0437966262162345i</v>
      </c>
      <c r="BD467" s="51">
        <f t="shared" si="400"/>
        <v>-27.15542761894859</v>
      </c>
      <c r="BE467" s="63">
        <f t="shared" si="401"/>
        <v>93.450379344784281</v>
      </c>
      <c r="BF467" s="60" t="str">
        <f t="shared" si="402"/>
        <v>0.00242980567246647-0.00970186231030793i</v>
      </c>
      <c r="BG467" s="66">
        <f t="shared" si="403"/>
        <v>-39.99869349590093</v>
      </c>
      <c r="BH467" s="63">
        <f t="shared" si="404"/>
        <v>-75.939635711647071</v>
      </c>
      <c r="BI467" s="60" t="e">
        <f t="shared" si="409"/>
        <v>#NUM!</v>
      </c>
      <c r="BJ467" s="66" t="e">
        <f t="shared" si="405"/>
        <v>#NUM!</v>
      </c>
      <c r="BK467" s="63" t="e">
        <f t="shared" si="410"/>
        <v>#NUM!</v>
      </c>
      <c r="BL467" s="51">
        <f t="shared" si="406"/>
        <v>-39.99869349590093</v>
      </c>
      <c r="BM467" s="63">
        <f t="shared" si="407"/>
        <v>-75.939635711647071</v>
      </c>
    </row>
    <row r="468" spans="14:65" x14ac:dyDescent="0.3">
      <c r="N468" s="11">
        <v>50</v>
      </c>
      <c r="O468" s="52">
        <f t="shared" si="408"/>
        <v>316227.7660168382</v>
      </c>
      <c r="P468" s="50" t="str">
        <f t="shared" si="411"/>
        <v>23.3035714285714</v>
      </c>
      <c r="Q468" s="18" t="str">
        <f t="shared" si="412"/>
        <v>1+753.60948130539i</v>
      </c>
      <c r="R468" s="18">
        <f t="shared" ref="R468:R531" si="423">IMABS(Q468)</f>
        <v>753.61014477870378</v>
      </c>
      <c r="S468" s="18">
        <f t="shared" ref="S468:S531" si="424">IMARGUMENT(Q468)</f>
        <v>1.569469380361926</v>
      </c>
      <c r="T468" s="18" t="str">
        <f t="shared" si="413"/>
        <v>1+3.51684424609182i</v>
      </c>
      <c r="U468" s="18">
        <f t="shared" ref="U468:U531" si="425">IMABS(T468)</f>
        <v>3.6562540189747677</v>
      </c>
      <c r="V468" s="18">
        <f t="shared" ref="V468:V531" si="426">IMARGUMENT(T468)</f>
        <v>1.2937622996349223</v>
      </c>
      <c r="W468" s="32" t="str">
        <f t="shared" si="414"/>
        <v>1-4.85690981883365i</v>
      </c>
      <c r="X468" s="18">
        <f t="shared" ref="X468:X531" si="427">IMABS(W468)</f>
        <v>4.958787451412161</v>
      </c>
      <c r="Y468" s="18">
        <f t="shared" ref="Y468:Y531" si="428">IMARGUMENT(W468)</f>
        <v>-1.3677416328586454</v>
      </c>
      <c r="Z468" s="32" t="str">
        <f t="shared" si="415"/>
        <v>0.6+2.38375478143645i</v>
      </c>
      <c r="AA468" s="18">
        <f t="shared" ref="AA468:AA531" si="429">IMABS(Z468)</f>
        <v>2.4581063561247989</v>
      </c>
      <c r="AB468" s="18">
        <f t="shared" ref="AB468:AB531" si="430">IMARGUMENT(Z468)</f>
        <v>1.3242147851288328</v>
      </c>
      <c r="AC468" s="68" t="str">
        <f t="shared" ref="AC468:AC531" si="431">(IMDIV(IMPRODUCT(P468,T468,W468),IMPRODUCT(Q468,Z468)))</f>
        <v>-0.224638683810955-0.039470028660129i</v>
      </c>
      <c r="AD468" s="66">
        <f t="shared" ref="AD468:AD531" si="432">20*LOG(IMABS(AC468))</f>
        <v>-12.838261338285248</v>
      </c>
      <c r="AE468" s="63">
        <f t="shared" ref="AE468:AE531" si="433">(180/PI())*IMARGUMENT(AC468)</f>
        <v>-170.03459349136745</v>
      </c>
      <c r="AF468" s="51" t="e">
        <f t="shared" ref="AF468:AF531" si="434">COMPLEX($B$68,0)</f>
        <v>#NUM!</v>
      </c>
      <c r="AG468" s="51" t="str">
        <f t="shared" si="416"/>
        <v>1-1055.05327382755i</v>
      </c>
      <c r="AH468" s="51">
        <f t="shared" ref="AH468:AH531" si="435">IMABS(AG468)</f>
        <v>1055.053747737162</v>
      </c>
      <c r="AI468" s="51">
        <f t="shared" ref="AI468:AI531" si="436">IMARGUMENT(AG468)</f>
        <v>-1.5698485076417288</v>
      </c>
      <c r="AJ468" s="51" t="str">
        <f t="shared" si="417"/>
        <v>1+3.51684424609182i</v>
      </c>
      <c r="AK468" s="51">
        <f t="shared" ref="AK468:AK531" si="437">IMABS(AJ468)</f>
        <v>3.6562540189747677</v>
      </c>
      <c r="AL468" s="51">
        <f t="shared" ref="AL468:AL531" si="438">IMARGUMENT(AJ468)</f>
        <v>1.2937622996349223</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-0.000170731707317073</v>
      </c>
      <c r="AT468" s="32" t="str">
        <f t="shared" si="420"/>
        <v>0.0755028708200504i</v>
      </c>
      <c r="AU468" s="32">
        <f t="shared" ref="AU468:AU531" si="444">IMABS(AT468)</f>
        <v>7.5502870820050402E-2</v>
      </c>
      <c r="AV468" s="32">
        <f t="shared" ref="AV468:AV531" si="445">IMARGUMENT(AT468)</f>
        <v>1.5707963267948966</v>
      </c>
      <c r="AW468" s="32" t="str">
        <f t="shared" si="421"/>
        <v>1+16.0752095601913i</v>
      </c>
      <c r="AX468" s="32">
        <f t="shared" ref="AX468:AX531" si="446">IMABS(AW468)</f>
        <v>16.106283320619497</v>
      </c>
      <c r="AY468" s="32">
        <f t="shared" ref="AY468:AY531" si="447">IMARGUMENT(AW468)</f>
        <v>1.5086687971297374</v>
      </c>
      <c r="AZ468" s="32" t="str">
        <f t="shared" si="422"/>
        <v>1+305.428981643635i</v>
      </c>
      <c r="BA468" s="32">
        <f t="shared" ref="BA468:BA531" si="448">IMABS(AZ468)</f>
        <v>305.43061868101552</v>
      </c>
      <c r="BB468" s="32">
        <f t="shared" ref="BB468:BB531" si="449">IMARGUMENT(AZ468)</f>
        <v>1.5675222549585111</v>
      </c>
      <c r="BC468" s="60" t="str">
        <f t="shared" ref="BC468:BC531" si="450">IMPRODUCT(AS468,IMDIV(AZ468,IMPRODUCT(AT468,AW468)))</f>
        <v>-0.00252225619791438+0.0428070580803128i</v>
      </c>
      <c r="BD468" s="51">
        <f t="shared" ref="BD468:BD531" si="451">20*LOG(IMABS(BC468))</f>
        <v>-27.354640883372547</v>
      </c>
      <c r="BE468" s="63">
        <f t="shared" ref="BE468:BE531" si="452">(180/PI())*IMARGUMENT(BC468)</f>
        <v>93.372054743339916</v>
      </c>
      <c r="BF468" s="60" t="str">
        <f t="shared" ref="BF468:BF531" si="453">IMPRODUCT(AC468,BC468)</f>
        <v>0.00225619212181926-0.00951656766056071i</v>
      </c>
      <c r="BG468" s="66">
        <f t="shared" ref="BG468:BG531" si="454">20*LOG(IMABS(BF468))</f>
        <v>-40.192902221657789</v>
      </c>
      <c r="BH468" s="63">
        <f t="shared" ref="BH468:BH531" si="455">(180/PI())*IMARGUMENT(BF468)</f>
        <v>-76.662538748027558</v>
      </c>
      <c r="BI468" s="60" t="e">
        <f t="shared" si="409"/>
        <v>#NUM!</v>
      </c>
      <c r="BJ468" s="66" t="e">
        <f t="shared" ref="BJ468:BJ531" si="456">20*LOG(IMABS(BI468))</f>
        <v>#NUM!</v>
      </c>
      <c r="BK468" s="63" t="e">
        <f t="shared" si="410"/>
        <v>#NUM!</v>
      </c>
      <c r="BL468" s="51">
        <f t="shared" ref="BL468:BL531" si="457">IF($B$31=0,BJ468,BG468)</f>
        <v>-40.192902221657789</v>
      </c>
      <c r="BM468" s="63">
        <f t="shared" ref="BM468:BM531" si="458">IF($B$31=0,BK468,BH468)</f>
        <v>-76.662538748027558</v>
      </c>
    </row>
    <row r="469" spans="14:65" x14ac:dyDescent="0.3">
      <c r="N469" s="11">
        <v>51</v>
      </c>
      <c r="O469" s="52">
        <f t="shared" si="408"/>
        <v>323593.65692962846</v>
      </c>
      <c r="P469" s="50" t="str">
        <f t="shared" si="411"/>
        <v>23.3035714285714</v>
      </c>
      <c r="Q469" s="18" t="str">
        <f t="shared" si="412"/>
        <v>1+771.163301136139i</v>
      </c>
      <c r="R469" s="18">
        <f t="shared" si="423"/>
        <v>771.16394950696917</v>
      </c>
      <c r="S469" s="18">
        <f t="shared" si="424"/>
        <v>1.5694995853161284</v>
      </c>
      <c r="T469" s="18" t="str">
        <f t="shared" si="413"/>
        <v>1+3.59876207196865i</v>
      </c>
      <c r="U469" s="18">
        <f t="shared" si="425"/>
        <v>3.7351155873199011</v>
      </c>
      <c r="V469" s="18">
        <f t="shared" si="426"/>
        <v>1.2997607713457269</v>
      </c>
      <c r="W469" s="32" t="str">
        <f t="shared" si="414"/>
        <v>1-4.97004178175206i</v>
      </c>
      <c r="X469" s="18">
        <f t="shared" si="427"/>
        <v>5.0696464681830804</v>
      </c>
      <c r="Y469" s="18">
        <f t="shared" si="428"/>
        <v>-1.3722418515590113</v>
      </c>
      <c r="Z469" s="32" t="str">
        <f t="shared" si="415"/>
        <v>0.58114858077964+2.43927956315965i</v>
      </c>
      <c r="AA469" s="18">
        <f t="shared" si="429"/>
        <v>2.5075522846374554</v>
      </c>
      <c r="AB469" s="18">
        <f t="shared" si="430"/>
        <v>1.3369104839462089</v>
      </c>
      <c r="AC469" s="68" t="str">
        <f t="shared" si="431"/>
        <v>-0.22518200098549-0.0369641966876921i</v>
      </c>
      <c r="AD469" s="66">
        <f t="shared" si="432"/>
        <v>-12.833850209785249</v>
      </c>
      <c r="AE469" s="63">
        <f t="shared" si="433"/>
        <v>-170.67789049382759</v>
      </c>
      <c r="AF469" s="51" t="e">
        <f t="shared" si="434"/>
        <v>#NUM!</v>
      </c>
      <c r="AG469" s="51" t="str">
        <f t="shared" si="416"/>
        <v>1-1079.6286215906i</v>
      </c>
      <c r="AH469" s="51">
        <f t="shared" si="435"/>
        <v>1079.629084712717</v>
      </c>
      <c r="AI469" s="51">
        <f t="shared" si="436"/>
        <v>-1.5698700826272025</v>
      </c>
      <c r="AJ469" s="51" t="str">
        <f t="shared" si="417"/>
        <v>1+3.59876207196865i</v>
      </c>
      <c r="AK469" s="51">
        <f t="shared" si="437"/>
        <v>3.7351155873199011</v>
      </c>
      <c r="AL469" s="51">
        <f t="shared" si="438"/>
        <v>1.2997607713457269</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-0.000170731707317073</v>
      </c>
      <c r="AT469" s="32" t="str">
        <f t="shared" si="420"/>
        <v>0.0772615586072366i</v>
      </c>
      <c r="AU469" s="32">
        <f t="shared" si="444"/>
        <v>7.7261558607236602E-2</v>
      </c>
      <c r="AV469" s="32">
        <f t="shared" si="445"/>
        <v>1.5707963267948966</v>
      </c>
      <c r="AW469" s="32" t="str">
        <f t="shared" si="421"/>
        <v>1+16.4496492923883i</v>
      </c>
      <c r="AX469" s="32">
        <f t="shared" si="446"/>
        <v>16.48001704618569</v>
      </c>
      <c r="AY469" s="32">
        <f t="shared" si="447"/>
        <v>1.510079478980934</v>
      </c>
      <c r="AZ469" s="32" t="str">
        <f t="shared" si="422"/>
        <v>1+312.543336555379i</v>
      </c>
      <c r="BA469" s="32">
        <f t="shared" si="448"/>
        <v>312.54493632943235</v>
      </c>
      <c r="BB469" s="32">
        <f t="shared" si="449"/>
        <v>1.5675967814177487</v>
      </c>
      <c r="BC469" s="60" t="str">
        <f t="shared" si="450"/>
        <v>-0.00240915395140628+0.0418395261387903i</v>
      </c>
      <c r="BD469" s="51">
        <f t="shared" si="451"/>
        <v>-27.553889422922797</v>
      </c>
      <c r="BE469" s="63">
        <f t="shared" si="452"/>
        <v>93.295498678607004</v>
      </c>
      <c r="BF469" s="60" t="str">
        <f t="shared" si="453"/>
        <v>0.00208906258097385-0.0093324557757068i</v>
      </c>
      <c r="BG469" s="66">
        <f t="shared" si="454"/>
        <v>-40.387739632708048</v>
      </c>
      <c r="BH469" s="63">
        <f t="shared" si="455"/>
        <v>-77.382391815220558</v>
      </c>
      <c r="BI469" s="60" t="e">
        <f t="shared" si="409"/>
        <v>#NUM!</v>
      </c>
      <c r="BJ469" s="66" t="e">
        <f t="shared" si="456"/>
        <v>#NUM!</v>
      </c>
      <c r="BK469" s="63" t="e">
        <f t="shared" si="410"/>
        <v>#NUM!</v>
      </c>
      <c r="BL469" s="51">
        <f t="shared" si="457"/>
        <v>-40.387739632708048</v>
      </c>
      <c r="BM469" s="63">
        <f t="shared" si="458"/>
        <v>-77.382391815220558</v>
      </c>
    </row>
    <row r="470" spans="14:65" x14ac:dyDescent="0.3">
      <c r="N470" s="11">
        <v>52</v>
      </c>
      <c r="O470" s="52">
        <f t="shared" si="408"/>
        <v>331131.12148259126</v>
      </c>
      <c r="P470" s="50" t="str">
        <f t="shared" si="411"/>
        <v>23.3035714285714</v>
      </c>
      <c r="Q470" s="18" t="str">
        <f t="shared" si="412"/>
        <v>1+789.126001956707i</v>
      </c>
      <c r="R470" s="18">
        <f t="shared" si="423"/>
        <v>789.12663556882717</v>
      </c>
      <c r="S470" s="18">
        <f t="shared" si="424"/>
        <v>1.5695291027239184</v>
      </c>
      <c r="T470" s="18" t="str">
        <f t="shared" si="413"/>
        <v>1+3.6825880091313i</v>
      </c>
      <c r="U470" s="18">
        <f t="shared" si="425"/>
        <v>3.8159473849881143</v>
      </c>
      <c r="V470" s="18">
        <f t="shared" si="426"/>
        <v>1.3056420871116698</v>
      </c>
      <c r="W470" s="32" t="str">
        <f t="shared" si="414"/>
        <v>1-5.08580892660945i</v>
      </c>
      <c r="X470" s="18">
        <f t="shared" si="427"/>
        <v>5.1831894078820202</v>
      </c>
      <c r="Y470" s="18">
        <f t="shared" si="428"/>
        <v>-1.3766475216531324</v>
      </c>
      <c r="Z470" s="32" t="str">
        <f t="shared" si="415"/>
        <v>0.561408721542723+2.49609768319494i</v>
      </c>
      <c r="AA470" s="18">
        <f t="shared" si="429"/>
        <v>2.5584533211835976</v>
      </c>
      <c r="AB470" s="18">
        <f t="shared" si="430"/>
        <v>1.3495632053686579</v>
      </c>
      <c r="AC470" s="68" t="str">
        <f t="shared" si="431"/>
        <v>-0.225680938030335-0.0344534951501016i</v>
      </c>
      <c r="AD470" s="66">
        <f t="shared" si="432"/>
        <v>-12.830045162669483</v>
      </c>
      <c r="AE470" s="63">
        <f t="shared" si="433"/>
        <v>-171.3199809845251</v>
      </c>
      <c r="AF470" s="51" t="e">
        <f t="shared" si="434"/>
        <v>#NUM!</v>
      </c>
      <c r="AG470" s="51" t="str">
        <f t="shared" si="416"/>
        <v>1-1104.77640273939i</v>
      </c>
      <c r="AH470" s="51">
        <f t="shared" si="435"/>
        <v>1104.7768553195649</v>
      </c>
      <c r="AI470" s="51">
        <f t="shared" si="436"/>
        <v>-1.5698911665068824</v>
      </c>
      <c r="AJ470" s="51" t="str">
        <f t="shared" si="417"/>
        <v>1+3.6825880091313i</v>
      </c>
      <c r="AK470" s="51">
        <f t="shared" si="437"/>
        <v>3.8159473849881143</v>
      </c>
      <c r="AL470" s="51">
        <f t="shared" si="438"/>
        <v>1.3056420871116698</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-0.000170731707317073</v>
      </c>
      <c r="AT470" s="32" t="str">
        <f t="shared" si="420"/>
        <v>0.079061211495474i</v>
      </c>
      <c r="AU470" s="32">
        <f t="shared" si="444"/>
        <v>7.9061211495474001E-2</v>
      </c>
      <c r="AV470" s="32">
        <f t="shared" si="445"/>
        <v>1.5707963267948966</v>
      </c>
      <c r="AW470" s="32" t="str">
        <f t="shared" si="421"/>
        <v>1+16.8328108463771i</v>
      </c>
      <c r="AX470" s="32">
        <f t="shared" si="446"/>
        <v>16.862488576420464</v>
      </c>
      <c r="AY470" s="32">
        <f t="shared" si="447"/>
        <v>1.5114582836281849</v>
      </c>
      <c r="AZ470" s="32" t="str">
        <f t="shared" si="422"/>
        <v>1+319.823406081166i</v>
      </c>
      <c r="BA470" s="32">
        <f t="shared" si="448"/>
        <v>319.82496944009608</v>
      </c>
      <c r="BB470" s="32">
        <f t="shared" si="449"/>
        <v>1.5676696114820055</v>
      </c>
      <c r="BC470" s="60" t="str">
        <f t="shared" si="450"/>
        <v>-0.00230110549595565+0.0408935611693409i</v>
      </c>
      <c r="BD470" s="51">
        <f t="shared" si="451"/>
        <v>-27.75317166168831</v>
      </c>
      <c r="BE470" s="63">
        <f t="shared" si="452"/>
        <v>93.220671846850067</v>
      </c>
      <c r="BF470" s="60" t="str">
        <f t="shared" si="453"/>
        <v>0.0019282417582523-0.00914961611705296i</v>
      </c>
      <c r="BG470" s="66">
        <f t="shared" si="454"/>
        <v>-40.583216824357791</v>
      </c>
      <c r="BH470" s="63">
        <f t="shared" si="455"/>
        <v>-78.099309137675021</v>
      </c>
      <c r="BI470" s="60" t="e">
        <f t="shared" si="409"/>
        <v>#NUM!</v>
      </c>
      <c r="BJ470" s="66" t="e">
        <f t="shared" si="456"/>
        <v>#NUM!</v>
      </c>
      <c r="BK470" s="63" t="e">
        <f t="shared" si="410"/>
        <v>#NUM!</v>
      </c>
      <c r="BL470" s="51">
        <f t="shared" si="457"/>
        <v>-40.583216824357791</v>
      </c>
      <c r="BM470" s="63">
        <f t="shared" si="458"/>
        <v>-78.099309137675021</v>
      </c>
    </row>
    <row r="471" spans="14:65" x14ac:dyDescent="0.3">
      <c r="N471" s="11">
        <v>53</v>
      </c>
      <c r="O471" s="52">
        <f t="shared" si="408"/>
        <v>338844.15613920329</v>
      </c>
      <c r="P471" s="50" t="str">
        <f t="shared" si="411"/>
        <v>23.3035714285714</v>
      </c>
      <c r="Q471" s="18" t="str">
        <f t="shared" si="412"/>
        <v>1+807.507107828827i</v>
      </c>
      <c r="R471" s="18">
        <f t="shared" si="423"/>
        <v>807.50772701818585</v>
      </c>
      <c r="S471" s="18">
        <f t="shared" si="424"/>
        <v>1.5695579482356108</v>
      </c>
      <c r="T471" s="18" t="str">
        <f t="shared" si="413"/>
        <v>1+3.7683665032012i</v>
      </c>
      <c r="U471" s="18">
        <f t="shared" si="425"/>
        <v>3.8987929032520872</v>
      </c>
      <c r="V471" s="18">
        <f t="shared" si="426"/>
        <v>1.3114077371590869</v>
      </c>
      <c r="W471" s="32" t="str">
        <f t="shared" si="414"/>
        <v>1-5.20427263467836i</v>
      </c>
      <c r="X471" s="18">
        <f t="shared" si="427"/>
        <v>5.2994767341749913</v>
      </c>
      <c r="Y471" s="18">
        <f t="shared" si="428"/>
        <v>-1.3809602946490842</v>
      </c>
      <c r="Z471" s="32" t="str">
        <f t="shared" si="415"/>
        <v>0.540738551401243+2.55423926726161i</v>
      </c>
      <c r="AA471" s="18">
        <f t="shared" si="429"/>
        <v>2.610849749677802</v>
      </c>
      <c r="AB471" s="18">
        <f t="shared" si="430"/>
        <v>1.362174208812631</v>
      </c>
      <c r="AC471" s="68" t="str">
        <f t="shared" si="431"/>
        <v>-0.226135187475662-0.0319384209814456i</v>
      </c>
      <c r="AD471" s="66">
        <f t="shared" si="432"/>
        <v>-12.82685849915352</v>
      </c>
      <c r="AE471" s="63">
        <f t="shared" si="433"/>
        <v>-171.96094726016716</v>
      </c>
      <c r="AF471" s="51" t="e">
        <f t="shared" si="434"/>
        <v>#NUM!</v>
      </c>
      <c r="AG471" s="51" t="str">
        <f t="shared" si="416"/>
        <v>1-1130.50995096036i</v>
      </c>
      <c r="AH471" s="51">
        <f t="shared" si="435"/>
        <v>1130.5103932385562</v>
      </c>
      <c r="AI471" s="51">
        <f t="shared" si="436"/>
        <v>-1.5699117704596453</v>
      </c>
      <c r="AJ471" s="51" t="str">
        <f t="shared" si="417"/>
        <v>1+3.7683665032012i</v>
      </c>
      <c r="AK471" s="51">
        <f t="shared" si="437"/>
        <v>3.8987929032520872</v>
      </c>
      <c r="AL471" s="51">
        <f t="shared" si="438"/>
        <v>1.3114077371590869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-0.000170731707317073</v>
      </c>
      <c r="AT471" s="32" t="str">
        <f t="shared" si="420"/>
        <v>0.0809027836845453i</v>
      </c>
      <c r="AU471" s="32">
        <f t="shared" si="444"/>
        <v>8.0902783684545301E-2</v>
      </c>
      <c r="AV471" s="32">
        <f t="shared" si="445"/>
        <v>1.5707963267948966</v>
      </c>
      <c r="AW471" s="32" t="str">
        <f t="shared" si="421"/>
        <v>1+17.2248973794852i</v>
      </c>
      <c r="AX471" s="32">
        <f t="shared" si="446"/>
        <v>17.253900710673978</v>
      </c>
      <c r="AY471" s="32">
        <f t="shared" si="447"/>
        <v>1.5128059211501272</v>
      </c>
      <c r="AZ471" s="32" t="str">
        <f t="shared" si="422"/>
        <v>1+327.273050210219i</v>
      </c>
      <c r="BA471" s="32">
        <f t="shared" si="448"/>
        <v>327.27457798292329</v>
      </c>
      <c r="BB471" s="32">
        <f t="shared" si="449"/>
        <v>1.567740783763653</v>
      </c>
      <c r="BC471" s="60" t="str">
        <f t="shared" si="450"/>
        <v>-0.00219788658153948+0.0399687024976203i</v>
      </c>
      <c r="BD471" s="51">
        <f t="shared" si="451"/>
        <v>-27.952486093659012</v>
      </c>
      <c r="BE471" s="63">
        <f t="shared" si="452"/>
        <v>93.147535775886041</v>
      </c>
      <c r="BF471" s="60" t="str">
        <f t="shared" si="453"/>
        <v>0.00177355674061783-0.00896813300554765i</v>
      </c>
      <c r="BG471" s="66">
        <f t="shared" si="454"/>
        <v>-40.779344592812528</v>
      </c>
      <c r="BH471" s="63">
        <f t="shared" si="455"/>
        <v>-78.813411484281104</v>
      </c>
      <c r="BI471" s="60" t="e">
        <f t="shared" si="409"/>
        <v>#NUM!</v>
      </c>
      <c r="BJ471" s="66" t="e">
        <f t="shared" si="456"/>
        <v>#NUM!</v>
      </c>
      <c r="BK471" s="63" t="e">
        <f t="shared" si="410"/>
        <v>#NUM!</v>
      </c>
      <c r="BL471" s="51">
        <f t="shared" si="457"/>
        <v>-40.779344592812528</v>
      </c>
      <c r="BM471" s="63">
        <f t="shared" si="458"/>
        <v>-78.813411484281104</v>
      </c>
    </row>
    <row r="472" spans="14:65" x14ac:dyDescent="0.3">
      <c r="N472" s="11">
        <v>54</v>
      </c>
      <c r="O472" s="52">
        <f t="shared" si="408"/>
        <v>346736.85045253241</v>
      </c>
      <c r="P472" s="50" t="str">
        <f t="shared" si="411"/>
        <v>23.3035714285714</v>
      </c>
      <c r="Q472" s="18" t="str">
        <f t="shared" si="412"/>
        <v>1+826.316364658138i</v>
      </c>
      <c r="R472" s="18">
        <f t="shared" si="423"/>
        <v>826.31696975303669</v>
      </c>
      <c r="S472" s="18">
        <f t="shared" si="424"/>
        <v>1.5695861371452855</v>
      </c>
      <c r="T472" s="18" t="str">
        <f t="shared" si="413"/>
        <v>1+3.85614303507131i</v>
      </c>
      <c r="U472" s="18">
        <f t="shared" si="425"/>
        <v>3.9836966635185687</v>
      </c>
      <c r="V472" s="18">
        <f t="shared" si="426"/>
        <v>1.3170592445589593</v>
      </c>
      <c r="W472" s="32" t="str">
        <f t="shared" si="414"/>
        <v>1-5.32549571698486i</v>
      </c>
      <c r="X472" s="18">
        <f t="shared" si="427"/>
        <v>5.4185703494209694</v>
      </c>
      <c r="Y472" s="18">
        <f t="shared" si="428"/>
        <v>-1.3851818151862472</v>
      </c>
      <c r="Z472" s="32" t="str">
        <f t="shared" si="415"/>
        <v>0.51909422615303+2.61373514279714i</v>
      </c>
      <c r="AA472" s="18">
        <f t="shared" si="429"/>
        <v>2.6647833330907407</v>
      </c>
      <c r="AB472" s="18">
        <f t="shared" si="430"/>
        <v>1.3747449169499846</v>
      </c>
      <c r="AC472" s="68" t="str">
        <f t="shared" si="431"/>
        <v>-0.226544455041634-0.0294194546909238i</v>
      </c>
      <c r="AD472" s="66">
        <f t="shared" si="432"/>
        <v>-12.824302248594545</v>
      </c>
      <c r="AE472" s="63">
        <f t="shared" si="433"/>
        <v>-172.60087867548933</v>
      </c>
      <c r="AF472" s="51" t="e">
        <f t="shared" si="434"/>
        <v>#NUM!</v>
      </c>
      <c r="AG472" s="51" t="str">
        <f t="shared" si="416"/>
        <v>1-1156.8429105214i</v>
      </c>
      <c r="AH472" s="51">
        <f t="shared" si="435"/>
        <v>1156.8433427321195</v>
      </c>
      <c r="AI472" s="51">
        <f t="shared" si="436"/>
        <v>-1.5699319054099097</v>
      </c>
      <c r="AJ472" s="51" t="str">
        <f t="shared" si="417"/>
        <v>1+3.85614303507131i</v>
      </c>
      <c r="AK472" s="51">
        <f t="shared" si="437"/>
        <v>3.9836966635185687</v>
      </c>
      <c r="AL472" s="51">
        <f t="shared" si="438"/>
        <v>1.3170592445589593</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-0.000170731707317073</v>
      </c>
      <c r="AT472" s="32" t="str">
        <f t="shared" si="420"/>
        <v>0.0827872516004009i</v>
      </c>
      <c r="AU472" s="32">
        <f t="shared" si="444"/>
        <v>8.2787251600400902E-2</v>
      </c>
      <c r="AV472" s="32">
        <f t="shared" si="445"/>
        <v>1.5707963267948966</v>
      </c>
      <c r="AW472" s="32" t="str">
        <f t="shared" si="421"/>
        <v>1+17.6261167811823i</v>
      </c>
      <c r="AX472" s="32">
        <f t="shared" si="446"/>
        <v>17.654460988200015</v>
      </c>
      <c r="AY472" s="32">
        <f t="shared" si="447"/>
        <v>1.5141230864910966</v>
      </c>
      <c r="AZ472" s="32" t="str">
        <f t="shared" si="422"/>
        <v>1+334.896218842465i</v>
      </c>
      <c r="BA472" s="32">
        <f t="shared" si="448"/>
        <v>334.89771183897363</v>
      </c>
      <c r="BB472" s="32">
        <f t="shared" si="449"/>
        <v>1.5678103359962916</v>
      </c>
      <c r="BC472" s="60" t="str">
        <f t="shared" si="450"/>
        <v>-0.00209928277091231+0.0390644979419639i</v>
      </c>
      <c r="BD472" s="51">
        <f t="shared" si="451"/>
        <v>-28.151831279669281</v>
      </c>
      <c r="BE472" s="63">
        <f t="shared" si="452"/>
        <v>93.076052810313485</v>
      </c>
      <c r="BF472" s="60" t="str">
        <f t="shared" si="453"/>
        <v>0.00162483709854191-0.00878808564337495i</v>
      </c>
      <c r="BG472" s="66">
        <f t="shared" si="454"/>
        <v>-40.97613352826383</v>
      </c>
      <c r="BH472" s="63">
        <f t="shared" si="455"/>
        <v>-79.524825865175856</v>
      </c>
      <c r="BI472" s="60" t="e">
        <f t="shared" si="409"/>
        <v>#NUM!</v>
      </c>
      <c r="BJ472" s="66" t="e">
        <f t="shared" si="456"/>
        <v>#NUM!</v>
      </c>
      <c r="BK472" s="63" t="e">
        <f t="shared" si="410"/>
        <v>#NUM!</v>
      </c>
      <c r="BL472" s="51">
        <f t="shared" si="457"/>
        <v>-40.97613352826383</v>
      </c>
      <c r="BM472" s="63">
        <f t="shared" si="458"/>
        <v>-79.524825865175856</v>
      </c>
    </row>
    <row r="473" spans="14:65" x14ac:dyDescent="0.3">
      <c r="N473" s="11">
        <v>55</v>
      </c>
      <c r="O473" s="52">
        <f t="shared" si="408"/>
        <v>354813.38923357555</v>
      </c>
      <c r="P473" s="50" t="str">
        <f t="shared" si="411"/>
        <v>23.3035714285714</v>
      </c>
      <c r="Q473" s="18" t="str">
        <f t="shared" si="412"/>
        <v>1+845.563745361577i</v>
      </c>
      <c r="R473" s="18">
        <f t="shared" si="423"/>
        <v>845.56433668284399</v>
      </c>
      <c r="S473" s="18">
        <f t="shared" si="424"/>
        <v>1.5696136843988961</v>
      </c>
      <c r="T473" s="18" t="str">
        <f t="shared" si="413"/>
        <v>1+3.94596414502069i</v>
      </c>
      <c r="U473" s="18">
        <f t="shared" si="425"/>
        <v>4.0707042429767437</v>
      </c>
      <c r="V473" s="18">
        <f t="shared" si="426"/>
        <v>1.3225981611643058</v>
      </c>
      <c r="W473" s="32" t="str">
        <f t="shared" si="414"/>
        <v>1-5.44954244761175i</v>
      </c>
      <c r="X473" s="18">
        <f t="shared" si="427"/>
        <v>5.5405336284804081</v>
      </c>
      <c r="Y473" s="18">
        <f t="shared" si="428"/>
        <v>-1.3893137194168934</v>
      </c>
      <c r="Z473" s="32" t="str">
        <f t="shared" si="415"/>
        <v>0.496429835282334+2.67461685530223i</v>
      </c>
      <c r="AA473" s="18">
        <f t="shared" si="429"/>
        <v>2.7202973925703851</v>
      </c>
      <c r="AB473" s="18">
        <f t="shared" si="430"/>
        <v>1.387276907387893</v>
      </c>
      <c r="AC473" s="68" t="str">
        <f t="shared" si="431"/>
        <v>-0.226908456081504-0.0268970610133329i</v>
      </c>
      <c r="AD473" s="66">
        <f t="shared" si="432"/>
        <v>-12.822388260048525</v>
      </c>
      <c r="AE473" s="63">
        <f t="shared" si="433"/>
        <v>-173.23987130705581</v>
      </c>
      <c r="AF473" s="51" t="e">
        <f t="shared" si="434"/>
        <v>#NUM!</v>
      </c>
      <c r="AG473" s="51" t="str">
        <f t="shared" si="416"/>
        <v>1-1183.78924350621i</v>
      </c>
      <c r="AH473" s="51">
        <f t="shared" si="435"/>
        <v>1183.7896658786156</v>
      </c>
      <c r="AI473" s="51">
        <f t="shared" si="436"/>
        <v>-1.5699515820334276</v>
      </c>
      <c r="AJ473" s="51" t="str">
        <f t="shared" si="417"/>
        <v>1+3.94596414502069i</v>
      </c>
      <c r="AK473" s="51">
        <f t="shared" si="437"/>
        <v>4.0707042429767437</v>
      </c>
      <c r="AL473" s="51">
        <f t="shared" si="438"/>
        <v>1.3225981611643058</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-0.000170731707317073</v>
      </c>
      <c r="AT473" s="32" t="str">
        <f t="shared" si="420"/>
        <v>0.0847156144128738i</v>
      </c>
      <c r="AU473" s="32">
        <f t="shared" si="444"/>
        <v>8.4715614412873799E-2</v>
      </c>
      <c r="AV473" s="32">
        <f t="shared" si="445"/>
        <v>1.5707963267948966</v>
      </c>
      <c r="AW473" s="32" t="str">
        <f t="shared" si="421"/>
        <v>1+18.036681783306i</v>
      </c>
      <c r="AX473" s="32">
        <f t="shared" si="446"/>
        <v>18.064381798230531</v>
      </c>
      <c r="AY473" s="32">
        <f t="shared" si="447"/>
        <v>1.5154104597377878</v>
      </c>
      <c r="AZ473" s="32" t="str">
        <f t="shared" si="422"/>
        <v>1+342.696953882814i</v>
      </c>
      <c r="BA473" s="32">
        <f t="shared" si="448"/>
        <v>342.69841289471935</v>
      </c>
      <c r="BB473" s="32">
        <f t="shared" si="449"/>
        <v>1.5678783050547422</v>
      </c>
      <c r="BC473" s="60" t="str">
        <f t="shared" si="450"/>
        <v>-0.00200508902233324+0.0381805037503779i</v>
      </c>
      <c r="BD473" s="51">
        <f t="shared" si="451"/>
        <v>-28.351205844471437</v>
      </c>
      <c r="BE473" s="63">
        <f t="shared" si="452"/>
        <v>93.006186096806701</v>
      </c>
      <c r="BF473" s="60" t="str">
        <f t="shared" si="453"/>
        <v>0.00148191499325731-0.00860954815664146i</v>
      </c>
      <c r="BG473" s="66">
        <f t="shared" si="454"/>
        <v>-41.173594104519964</v>
      </c>
      <c r="BH473" s="63">
        <f t="shared" si="455"/>
        <v>-80.233685210249064</v>
      </c>
      <c r="BI473" s="60" t="e">
        <f t="shared" si="409"/>
        <v>#NUM!</v>
      </c>
      <c r="BJ473" s="66" t="e">
        <f t="shared" si="456"/>
        <v>#NUM!</v>
      </c>
      <c r="BK473" s="63" t="e">
        <f t="shared" si="410"/>
        <v>#NUM!</v>
      </c>
      <c r="BL473" s="51">
        <f t="shared" si="457"/>
        <v>-41.173594104519964</v>
      </c>
      <c r="BM473" s="63">
        <f t="shared" si="458"/>
        <v>-80.233685210249064</v>
      </c>
    </row>
    <row r="474" spans="14:65" x14ac:dyDescent="0.3">
      <c r="N474" s="11">
        <v>56</v>
      </c>
      <c r="O474" s="52">
        <f t="shared" si="408"/>
        <v>363078.05477010203</v>
      </c>
      <c r="P474" s="50" t="str">
        <f t="shared" si="411"/>
        <v>23.3035714285714</v>
      </c>
      <c r="Q474" s="18" t="str">
        <f t="shared" si="412"/>
        <v>1+865.259455155173i</v>
      </c>
      <c r="R474" s="18">
        <f t="shared" si="423"/>
        <v>865.26003301633364</v>
      </c>
      <c r="S474" s="18">
        <f t="shared" si="424"/>
        <v>1.5696406046021938</v>
      </c>
      <c r="T474" s="18" t="str">
        <f t="shared" si="413"/>
        <v>1+4.03787745739081i</v>
      </c>
      <c r="U474" s="18">
        <f t="shared" si="425"/>
        <v>4.159862300714396</v>
      </c>
      <c r="V474" s="18">
        <f t="shared" si="426"/>
        <v>1.3280260637558774</v>
      </c>
      <c r="W474" s="32" t="str">
        <f t="shared" si="414"/>
        <v>1-5.57647859777763i</v>
      </c>
      <c r="X474" s="18">
        <f t="shared" si="427"/>
        <v>5.6654314532497843</v>
      </c>
      <c r="Y474" s="18">
        <f t="shared" si="428"/>
        <v>-1.3933576335154787</v>
      </c>
      <c r="Z474" s="32" t="str">
        <f t="shared" si="415"/>
        <v>0.472697304577434+2.73691668506677i</v>
      </c>
      <c r="AA474" s="18">
        <f t="shared" si="429"/>
        <v>2.7774368908674862</v>
      </c>
      <c r="AB474" s="18">
        <f t="shared" si="430"/>
        <v>1.3997719041419503</v>
      </c>
      <c r="AC474" s="68" t="str">
        <f t="shared" si="431"/>
        <v>-0.22722691216811-0.0243716898784354i</v>
      </c>
      <c r="AD474" s="66">
        <f t="shared" si="432"/>
        <v>-12.821128291140585</v>
      </c>
      <c r="AE474" s="63">
        <f t="shared" si="433"/>
        <v>-173.87802760058284</v>
      </c>
      <c r="AF474" s="51" t="e">
        <f t="shared" si="434"/>
        <v>#NUM!</v>
      </c>
      <c r="AG474" s="51" t="str">
        <f t="shared" si="416"/>
        <v>1-1211.36323721724i</v>
      </c>
      <c r="AH474" s="51">
        <f t="shared" si="435"/>
        <v>1211.3636499752797</v>
      </c>
      <c r="AI474" s="51">
        <f t="shared" si="436"/>
        <v>-1.5699708107629438</v>
      </c>
      <c r="AJ474" s="51" t="str">
        <f t="shared" si="417"/>
        <v>1+4.03787745739081i</v>
      </c>
      <c r="AK474" s="51">
        <f t="shared" si="437"/>
        <v>4.159862300714396</v>
      </c>
      <c r="AL474" s="51">
        <f t="shared" si="438"/>
        <v>1.3280260637558774</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-0.000170731707317073</v>
      </c>
      <c r="AT474" s="32" t="str">
        <f t="shared" si="420"/>
        <v>0.0866888945654523i</v>
      </c>
      <c r="AU474" s="32">
        <f t="shared" si="444"/>
        <v>8.6688894565452299E-2</v>
      </c>
      <c r="AV474" s="32">
        <f t="shared" si="445"/>
        <v>1.5707963267948966</v>
      </c>
      <c r="AW474" s="32" t="str">
        <f t="shared" si="421"/>
        <v>1+18.456810072855i</v>
      </c>
      <c r="AX474" s="32">
        <f t="shared" si="446"/>
        <v>18.483880492619555</v>
      </c>
      <c r="AY474" s="32">
        <f t="shared" si="447"/>
        <v>1.5166687063940552</v>
      </c>
      <c r="AZ474" s="32" t="str">
        <f t="shared" si="422"/>
        <v>1+350.679391384246i</v>
      </c>
      <c r="BA474" s="32">
        <f t="shared" si="448"/>
        <v>350.68081718512229</v>
      </c>
      <c r="BB474" s="32">
        <f t="shared" si="449"/>
        <v>1.5679447269745859</v>
      </c>
      <c r="BC474" s="60" t="str">
        <f t="shared" si="450"/>
        <v>-0.00191510928896381+0.0373162845305651i</v>
      </c>
      <c r="BD474" s="51">
        <f t="shared" si="451"/>
        <v>-28.550608473933504</v>
      </c>
      <c r="BE474" s="63">
        <f t="shared" si="452"/>
        <v>92.937899569490355</v>
      </c>
      <c r="BF474" s="60" t="str">
        <f t="shared" si="453"/>
        <v>0.0013446252841901-0.00843258965779298i</v>
      </c>
      <c r="BG474" s="66">
        <f t="shared" si="454"/>
        <v>-41.37173676507409</v>
      </c>
      <c r="BH474" s="63">
        <f t="shared" si="455"/>
        <v>-80.94012803109247</v>
      </c>
      <c r="BI474" s="60" t="e">
        <f t="shared" si="409"/>
        <v>#NUM!</v>
      </c>
      <c r="BJ474" s="66" t="e">
        <f t="shared" si="456"/>
        <v>#NUM!</v>
      </c>
      <c r="BK474" s="63" t="e">
        <f t="shared" si="410"/>
        <v>#NUM!</v>
      </c>
      <c r="BL474" s="51">
        <f t="shared" si="457"/>
        <v>-41.37173676507409</v>
      </c>
      <c r="BM474" s="63">
        <f t="shared" si="458"/>
        <v>-80.94012803109247</v>
      </c>
    </row>
    <row r="475" spans="14:65" x14ac:dyDescent="0.3">
      <c r="N475" s="11">
        <v>57</v>
      </c>
      <c r="O475" s="52">
        <f t="shared" si="408"/>
        <v>371535.2290971732</v>
      </c>
      <c r="P475" s="50" t="str">
        <f t="shared" si="411"/>
        <v>23.3035714285714</v>
      </c>
      <c r="Q475" s="18" t="str">
        <f t="shared" si="412"/>
        <v>1+885.413936964951i</v>
      </c>
      <c r="R475" s="18">
        <f t="shared" si="423"/>
        <v>885.41450167239429</v>
      </c>
      <c r="S475" s="18">
        <f t="shared" si="424"/>
        <v>1.5696669120284708</v>
      </c>
      <c r="T475" s="18" t="str">
        <f t="shared" si="413"/>
        <v>1+4.13193170583644i</v>
      </c>
      <c r="U475" s="18">
        <f t="shared" si="425"/>
        <v>4.251218604317641</v>
      </c>
      <c r="V475" s="18">
        <f t="shared" si="426"/>
        <v>1.3333445503926691</v>
      </c>
      <c r="W475" s="32" t="str">
        <f t="shared" si="414"/>
        <v>1-5.70637147070946i</v>
      </c>
      <c r="X475" s="18">
        <f t="shared" si="427"/>
        <v>5.793330247942615</v>
      </c>
      <c r="Y475" s="18">
        <f t="shared" si="428"/>
        <v>-1.3973151723093169</v>
      </c>
      <c r="Z475" s="32" t="str">
        <f t="shared" si="415"/>
        <v>0.447846294158843+2.8006676642851i</v>
      </c>
      <c r="AA475" s="18">
        <f t="shared" si="429"/>
        <v>2.8362485203105816</v>
      </c>
      <c r="AB475" s="18">
        <f t="shared" si="430"/>
        <v>1.4122317689337354</v>
      </c>
      <c r="AC475" s="68" t="str">
        <f t="shared" si="431"/>
        <v>-0.227499547844446-0.0218437776821599i</v>
      </c>
      <c r="AD475" s="66">
        <f t="shared" si="432"/>
        <v>-12.820534093170995</v>
      </c>
      <c r="AE475" s="63">
        <f t="shared" si="433"/>
        <v>-174.5154560034126</v>
      </c>
      <c r="AF475" s="51" t="e">
        <f t="shared" si="434"/>
        <v>#NUM!</v>
      </c>
      <c r="AG475" s="51" t="str">
        <f t="shared" si="416"/>
        <v>1-1239.57951175093i</v>
      </c>
      <c r="AH475" s="51">
        <f t="shared" si="435"/>
        <v>1239.5799151134524</v>
      </c>
      <c r="AI475" s="51">
        <f t="shared" si="436"/>
        <v>-1.5699896017937287</v>
      </c>
      <c r="AJ475" s="51" t="str">
        <f t="shared" si="417"/>
        <v>1+4.13193170583644i</v>
      </c>
      <c r="AK475" s="51">
        <f t="shared" si="437"/>
        <v>4.251218604317641</v>
      </c>
      <c r="AL475" s="51">
        <f t="shared" si="438"/>
        <v>1.3333445503926691</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-0.000170731707317073</v>
      </c>
      <c r="AT475" s="32" t="str">
        <f t="shared" si="420"/>
        <v>0.0887081383173925i</v>
      </c>
      <c r="AU475" s="32">
        <f t="shared" si="444"/>
        <v>8.8708138317392493E-2</v>
      </c>
      <c r="AV475" s="32">
        <f t="shared" si="445"/>
        <v>1.5707963267948966</v>
      </c>
      <c r="AW475" s="32" t="str">
        <f t="shared" si="421"/>
        <v>1+18.8867244074094i</v>
      </c>
      <c r="AX475" s="32">
        <f t="shared" si="446"/>
        <v>18.913179501115987</v>
      </c>
      <c r="AY475" s="32">
        <f t="shared" si="447"/>
        <v>1.5178984776536073</v>
      </c>
      <c r="AZ475" s="32" t="str">
        <f t="shared" si="422"/>
        <v>1+358.847763740778i</v>
      </c>
      <c r="BA475" s="32">
        <f t="shared" si="448"/>
        <v>358.8491570865915</v>
      </c>
      <c r="BB475" s="32">
        <f t="shared" si="449"/>
        <v>1.5680096369712579</v>
      </c>
      <c r="BC475" s="60" t="str">
        <f t="shared" si="450"/>
        <v>-0.00182915613436727+0.0364714131736693i</v>
      </c>
      <c r="BD475" s="51">
        <f t="shared" si="451"/>
        <v>-28.750037912356884</v>
      </c>
      <c r="BE475" s="63">
        <f t="shared" si="452"/>
        <v>92.87115793540903</v>
      </c>
      <c r="BF475" s="60" t="str">
        <f t="shared" si="453"/>
        <v>0.00121280563462528-0.00825727432631266i</v>
      </c>
      <c r="BG475" s="66">
        <f t="shared" si="454"/>
        <v>-41.570572005527886</v>
      </c>
      <c r="BH475" s="63">
        <f t="shared" si="455"/>
        <v>-81.64429806800355</v>
      </c>
      <c r="BI475" s="60" t="e">
        <f t="shared" si="409"/>
        <v>#NUM!</v>
      </c>
      <c r="BJ475" s="66" t="e">
        <f t="shared" si="456"/>
        <v>#NUM!</v>
      </c>
      <c r="BK475" s="63" t="e">
        <f t="shared" si="410"/>
        <v>#NUM!</v>
      </c>
      <c r="BL475" s="51">
        <f t="shared" si="457"/>
        <v>-41.570572005527886</v>
      </c>
      <c r="BM475" s="63">
        <f t="shared" si="458"/>
        <v>-81.64429806800355</v>
      </c>
    </row>
    <row r="476" spans="14:65" x14ac:dyDescent="0.3">
      <c r="N476" s="11">
        <v>58</v>
      </c>
      <c r="O476" s="52">
        <f t="shared" si="408"/>
        <v>380189.39632056188</v>
      </c>
      <c r="P476" s="50" t="str">
        <f t="shared" si="411"/>
        <v>23.3035714285714</v>
      </c>
      <c r="Q476" s="18" t="str">
        <f t="shared" si="412"/>
        <v>1+906.037876963948i</v>
      </c>
      <c r="R476" s="18">
        <f t="shared" si="423"/>
        <v>906.03842881708829</v>
      </c>
      <c r="S476" s="18">
        <f t="shared" si="424"/>
        <v>1.5696926206261268</v>
      </c>
      <c r="T476" s="18" t="str">
        <f t="shared" si="413"/>
        <v>1+4.22817675916509i</v>
      </c>
      <c r="U476" s="18">
        <f t="shared" si="425"/>
        <v>4.3448220569712408</v>
      </c>
      <c r="V476" s="18">
        <f t="shared" si="426"/>
        <v>1.3385552369631457</v>
      </c>
      <c r="W476" s="32" t="str">
        <f t="shared" si="414"/>
        <v>1-5.83928993732781i</v>
      </c>
      <c r="X476" s="18">
        <f t="shared" si="427"/>
        <v>5.9242980151388247</v>
      </c>
      <c r="Y476" s="18">
        <f t="shared" si="428"/>
        <v>-1.4011879380244805</v>
      </c>
      <c r="Z476" s="32" t="str">
        <f t="shared" si="415"/>
        <v>0.421824091701626+2.86590359457025i</v>
      </c>
      <c r="AA476" s="18">
        <f t="shared" si="429"/>
        <v>2.8967807955919933</v>
      </c>
      <c r="AB476" s="18">
        <f t="shared" si="430"/>
        <v>1.4246584923413328</v>
      </c>
      <c r="AC476" s="68" t="str">
        <f t="shared" si="431"/>
        <v>-0.227726087557012-0.0193137488419033i</v>
      </c>
      <c r="AD476" s="66">
        <f t="shared" si="432"/>
        <v>-12.820617492410944</v>
      </c>
      <c r="AE476" s="63">
        <f t="shared" si="433"/>
        <v>-175.15227058365522</v>
      </c>
      <c r="AF476" s="51" t="e">
        <f t="shared" si="434"/>
        <v>#NUM!</v>
      </c>
      <c r="AG476" s="51" t="str">
        <f t="shared" si="416"/>
        <v>1-1268.45302774953i</v>
      </c>
      <c r="AH476" s="51">
        <f t="shared" si="435"/>
        <v>1268.4534219304035</v>
      </c>
      <c r="AI476" s="51">
        <f t="shared" si="436"/>
        <v>-1.5700079650889824</v>
      </c>
      <c r="AJ476" s="51" t="str">
        <f t="shared" si="417"/>
        <v>1+4.22817675916509i</v>
      </c>
      <c r="AK476" s="51">
        <f t="shared" si="437"/>
        <v>4.3448220569712408</v>
      </c>
      <c r="AL476" s="51">
        <f t="shared" si="438"/>
        <v>1.3385552369631457</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-0.000170731707317073</v>
      </c>
      <c r="AT476" s="32" t="str">
        <f t="shared" si="420"/>
        <v>0.0907744162984596i</v>
      </c>
      <c r="AU476" s="32">
        <f t="shared" si="444"/>
        <v>9.0774416298459601E-2</v>
      </c>
      <c r="AV476" s="32">
        <f t="shared" si="445"/>
        <v>1.5707963267948966</v>
      </c>
      <c r="AW476" s="32" t="str">
        <f t="shared" si="421"/>
        <v>1+19.3266527332399i</v>
      </c>
      <c r="AX476" s="32">
        <f t="shared" si="446"/>
        <v>19.352506449327159</v>
      </c>
      <c r="AY476" s="32">
        <f t="shared" si="447"/>
        <v>1.5191004106703763</v>
      </c>
      <c r="AZ476" s="32" t="str">
        <f t="shared" si="422"/>
        <v>1+367.206401931558i</v>
      </c>
      <c r="BA476" s="32">
        <f t="shared" si="448"/>
        <v>367.20776356106757</v>
      </c>
      <c r="BB476" s="32">
        <f t="shared" si="449"/>
        <v>1.5680730694587088</v>
      </c>
      <c r="BC476" s="60" t="str">
        <f t="shared" si="450"/>
        <v>-0.00174705036355088+0.0356454707723817i</v>
      </c>
      <c r="BD476" s="51">
        <f t="shared" si="451"/>
        <v>-28.949492959908536</v>
      </c>
      <c r="BE476" s="63">
        <f t="shared" si="452"/>
        <v>92.805926660105683</v>
      </c>
      <c r="BF476" s="60" t="str">
        <f t="shared" si="453"/>
        <v>0.00108629661390568-0.00808366150618653i</v>
      </c>
      <c r="BG476" s="66">
        <f t="shared" si="454"/>
        <v>-41.770110452319486</v>
      </c>
      <c r="BH476" s="63">
        <f t="shared" si="455"/>
        <v>-82.346343923549554</v>
      </c>
      <c r="BI476" s="60" t="e">
        <f t="shared" si="409"/>
        <v>#NUM!</v>
      </c>
      <c r="BJ476" s="66" t="e">
        <f t="shared" si="456"/>
        <v>#NUM!</v>
      </c>
      <c r="BK476" s="63" t="e">
        <f t="shared" si="410"/>
        <v>#NUM!</v>
      </c>
      <c r="BL476" s="51">
        <f t="shared" si="457"/>
        <v>-41.770110452319486</v>
      </c>
      <c r="BM476" s="63">
        <f t="shared" si="458"/>
        <v>-82.346343923549554</v>
      </c>
    </row>
    <row r="477" spans="14:65" x14ac:dyDescent="0.3">
      <c r="N477" s="11">
        <v>59</v>
      </c>
      <c r="O477" s="52">
        <f t="shared" si="408"/>
        <v>389045.14499428123</v>
      </c>
      <c r="P477" s="50" t="str">
        <f t="shared" si="411"/>
        <v>23.3035714285714</v>
      </c>
      <c r="Q477" s="18" t="str">
        <f t="shared" si="412"/>
        <v>1+927.14221023814i</v>
      </c>
      <c r="R477" s="18">
        <f t="shared" si="423"/>
        <v>927.14274952957669</v>
      </c>
      <c r="S477" s="18">
        <f t="shared" si="424"/>
        <v>1.5697177440260646</v>
      </c>
      <c r="T477" s="18" t="str">
        <f t="shared" si="413"/>
        <v>1+4.32666364777799i</v>
      </c>
      <c r="U477" s="18">
        <f t="shared" si="425"/>
        <v>4.4407227250756769</v>
      </c>
      <c r="V477" s="18">
        <f t="shared" si="426"/>
        <v>1.3436597539324224</v>
      </c>
      <c r="W477" s="32" t="str">
        <f t="shared" si="414"/>
        <v>1-5.97530447276307i</v>
      </c>
      <c r="X477" s="18">
        <f t="shared" si="427"/>
        <v>6.0584043726234009</v>
      </c>
      <c r="Y477" s="18">
        <f t="shared" si="428"/>
        <v>-1.4049775191408727</v>
      </c>
      <c r="Z477" s="32" t="str">
        <f t="shared" si="415"/>
        <v>0.394575500625514+2.93265906487596i</v>
      </c>
      <c r="AA477" s="18">
        <f t="shared" si="429"/>
        <v>2.9590841516410133</v>
      </c>
      <c r="AB477" s="18">
        <f t="shared" si="430"/>
        <v>1.4370541848281371</v>
      </c>
      <c r="AC477" s="68" t="str">
        <f t="shared" si="431"/>
        <v>-0.227906252789031-0.0167820176178528i</v>
      </c>
      <c r="AD477" s="66">
        <f t="shared" si="432"/>
        <v>-12.821390467560585</v>
      </c>
      <c r="AE477" s="63">
        <f t="shared" si="433"/>
        <v>-175.78859063737389</v>
      </c>
      <c r="AF477" s="51" t="e">
        <f t="shared" si="434"/>
        <v>#NUM!</v>
      </c>
      <c r="AG477" s="51" t="str">
        <f t="shared" si="416"/>
        <v>1-1297.9990943334i</v>
      </c>
      <c r="AH477" s="51">
        <f t="shared" si="435"/>
        <v>1297.9994795416242</v>
      </c>
      <c r="AI477" s="51">
        <f t="shared" si="436"/>
        <v>-1.5700259103851175</v>
      </c>
      <c r="AJ477" s="51" t="str">
        <f t="shared" si="417"/>
        <v>1+4.32666364777799i</v>
      </c>
      <c r="AK477" s="51">
        <f t="shared" si="437"/>
        <v>4.4407227250756769</v>
      </c>
      <c r="AL477" s="51">
        <f t="shared" si="438"/>
        <v>1.3436597539324224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-0.000170731707317073</v>
      </c>
      <c r="AT477" s="32" t="str">
        <f t="shared" si="420"/>
        <v>0.0928888240765895i</v>
      </c>
      <c r="AU477" s="32">
        <f t="shared" si="444"/>
        <v>9.2888824076589493E-2</v>
      </c>
      <c r="AV477" s="32">
        <f t="shared" si="445"/>
        <v>1.5707963267948966</v>
      </c>
      <c r="AW477" s="32" t="str">
        <f t="shared" si="421"/>
        <v>1+19.776828306168i</v>
      </c>
      <c r="AX477" s="32">
        <f t="shared" si="446"/>
        <v>19.802094279435394</v>
      </c>
      <c r="AY477" s="32">
        <f t="shared" si="447"/>
        <v>1.5202751288263645</v>
      </c>
      <c r="AZ477" s="32" t="str">
        <f t="shared" si="422"/>
        <v>1+375.759737817194i</v>
      </c>
      <c r="BA477" s="32">
        <f t="shared" si="448"/>
        <v>375.76106845234295</v>
      </c>
      <c r="BB477" s="32">
        <f t="shared" si="449"/>
        <v>1.5681350580676396</v>
      </c>
      <c r="BC477" s="60" t="str">
        <f t="shared" si="450"/>
        <v>-0.00166862066900257+0.0348380465340007i</v>
      </c>
      <c r="BD477" s="51">
        <f t="shared" si="451"/>
        <v>-29.148972470163802</v>
      </c>
      <c r="BE477" s="63">
        <f t="shared" si="452"/>
        <v>92.74217195331984</v>
      </c>
      <c r="BF477" s="60" t="str">
        <f t="shared" si="453"/>
        <v>0.000964941794703877-0.00791180581858928i</v>
      </c>
      <c r="BG477" s="66">
        <f t="shared" si="454"/>
        <v>-41.970362937724381</v>
      </c>
      <c r="BH477" s="63">
        <f t="shared" si="455"/>
        <v>-83.046418684054046</v>
      </c>
      <c r="BI477" s="60" t="e">
        <f t="shared" si="409"/>
        <v>#NUM!</v>
      </c>
      <c r="BJ477" s="66" t="e">
        <f t="shared" si="456"/>
        <v>#NUM!</v>
      </c>
      <c r="BK477" s="63" t="e">
        <f t="shared" si="410"/>
        <v>#NUM!</v>
      </c>
      <c r="BL477" s="51">
        <f t="shared" si="457"/>
        <v>-41.970362937724381</v>
      </c>
      <c r="BM477" s="63">
        <f t="shared" si="458"/>
        <v>-83.046418684054046</v>
      </c>
    </row>
    <row r="478" spans="14:65" x14ac:dyDescent="0.3">
      <c r="N478" s="11">
        <v>60</v>
      </c>
      <c r="O478" s="52">
        <f t="shared" si="408"/>
        <v>398107.17055349716</v>
      </c>
      <c r="P478" s="50" t="str">
        <f t="shared" si="411"/>
        <v>23.3035714285714</v>
      </c>
      <c r="Q478" s="18" t="str">
        <f t="shared" si="412"/>
        <v>1+948.738126584376i</v>
      </c>
      <c r="R478" s="18">
        <f t="shared" si="423"/>
        <v>948.73865360004777</v>
      </c>
      <c r="S478" s="18">
        <f t="shared" si="424"/>
        <v>1.5697422955489164</v>
      </c>
      <c r="T478" s="18" t="str">
        <f t="shared" si="413"/>
        <v>1+4.42744459072709i</v>
      </c>
      <c r="U478" s="18">
        <f t="shared" si="425"/>
        <v>4.538971866398664</v>
      </c>
      <c r="V478" s="18">
        <f t="shared" si="426"/>
        <v>1.3486597432802352</v>
      </c>
      <c r="W478" s="32" t="str">
        <f t="shared" si="414"/>
        <v>1-6.11448719372228i</v>
      </c>
      <c r="X478" s="18">
        <f t="shared" si="427"/>
        <v>6.1957205910365065</v>
      </c>
      <c r="Y478" s="18">
        <f t="shared" si="428"/>
        <v>-1.408685489350604</v>
      </c>
      <c r="Z478" s="32" t="str">
        <f t="shared" si="415"/>
        <v>0.366042723015554+3.00096946983619i</v>
      </c>
      <c r="AA478" s="18">
        <f t="shared" si="429"/>
        <v>3.0232110468774001</v>
      </c>
      <c r="AB478" s="18">
        <f t="shared" si="430"/>
        <v>1.4494210676724961</v>
      </c>
      <c r="AC478" s="68" t="str">
        <f t="shared" si="431"/>
        <v>-0.228039759409016-0.0142489901819278i</v>
      </c>
      <c r="AD478" s="66">
        <f t="shared" si="432"/>
        <v>-12.822865223361079</v>
      </c>
      <c r="AE478" s="63">
        <f t="shared" si="433"/>
        <v>-176.42454028506623</v>
      </c>
      <c r="AF478" s="51" t="e">
        <f t="shared" si="434"/>
        <v>#NUM!</v>
      </c>
      <c r="AG478" s="51" t="str">
        <f t="shared" si="416"/>
        <v>1-1328.23337721813i</v>
      </c>
      <c r="AH478" s="51">
        <f t="shared" si="435"/>
        <v>1328.2337536579469</v>
      </c>
      <c r="AI478" s="51">
        <f t="shared" si="436"/>
        <v>-1.5700434471969213</v>
      </c>
      <c r="AJ478" s="51" t="str">
        <f t="shared" si="417"/>
        <v>1+4.42744459072709i</v>
      </c>
      <c r="AK478" s="51">
        <f t="shared" si="437"/>
        <v>4.538971866398664</v>
      </c>
      <c r="AL478" s="51">
        <f t="shared" si="438"/>
        <v>1.3486597432802352</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-0.000170731707317073</v>
      </c>
      <c r="AT478" s="32" t="str">
        <f t="shared" si="420"/>
        <v>0.0950524827387737i</v>
      </c>
      <c r="AU478" s="32">
        <f t="shared" si="444"/>
        <v>9.5052482738773703E-2</v>
      </c>
      <c r="AV478" s="32">
        <f t="shared" si="445"/>
        <v>1.5707963267948966</v>
      </c>
      <c r="AW478" s="32" t="str">
        <f t="shared" si="421"/>
        <v>1+20.2374898152414i</v>
      </c>
      <c r="AX478" s="32">
        <f t="shared" si="446"/>
        <v>20.262181373731689</v>
      </c>
      <c r="AY478" s="32">
        <f t="shared" si="447"/>
        <v>1.5214232419967886</v>
      </c>
      <c r="AZ478" s="32" t="str">
        <f t="shared" si="422"/>
        <v>1+384.512306489587i</v>
      </c>
      <c r="BA478" s="32">
        <f t="shared" si="448"/>
        <v>384.51360683588575</v>
      </c>
      <c r="BB478" s="32">
        <f t="shared" si="449"/>
        <v>1.5681956356633253</v>
      </c>
      <c r="BC478" s="60" t="str">
        <f t="shared" si="450"/>
        <v>-0.00159370329118665+0.0340487376890037i</v>
      </c>
      <c r="BD478" s="51">
        <f t="shared" si="451"/>
        <v>-29.348475347754238</v>
      </c>
      <c r="BE478" s="63">
        <f t="shared" si="452"/>
        <v>92.679860754816971</v>
      </c>
      <c r="BF478" s="60" t="str">
        <f t="shared" si="453"/>
        <v>0.000848587844129209-0.00774175728823207i</v>
      </c>
      <c r="BG478" s="66">
        <f t="shared" si="454"/>
        <v>-42.171340571115323</v>
      </c>
      <c r="BH478" s="63">
        <f t="shared" si="455"/>
        <v>-83.744679530249257</v>
      </c>
      <c r="BI478" s="60" t="e">
        <f t="shared" si="409"/>
        <v>#NUM!</v>
      </c>
      <c r="BJ478" s="66" t="e">
        <f t="shared" si="456"/>
        <v>#NUM!</v>
      </c>
      <c r="BK478" s="63" t="e">
        <f t="shared" si="410"/>
        <v>#NUM!</v>
      </c>
      <c r="BL478" s="51">
        <f t="shared" si="457"/>
        <v>-42.171340571115323</v>
      </c>
      <c r="BM478" s="63">
        <f t="shared" si="458"/>
        <v>-83.744679530249257</v>
      </c>
    </row>
    <row r="479" spans="14:65" x14ac:dyDescent="0.3">
      <c r="N479" s="11">
        <v>61</v>
      </c>
      <c r="O479" s="52">
        <f t="shared" si="408"/>
        <v>407380.27780411334</v>
      </c>
      <c r="P479" s="50" t="str">
        <f t="shared" si="411"/>
        <v>23.3035714285714</v>
      </c>
      <c r="Q479" s="18" t="str">
        <f t="shared" si="412"/>
        <v>1+970.837076443364i</v>
      </c>
      <c r="R479" s="18">
        <f t="shared" si="423"/>
        <v>970.83759146270097</v>
      </c>
      <c r="S479" s="18">
        <f t="shared" si="424"/>
        <v>1.5697662882121062</v>
      </c>
      <c r="T479" s="18" t="str">
        <f t="shared" si="413"/>
        <v>1+4.53057302340237i</v>
      </c>
      <c r="U479" s="18">
        <f t="shared" si="425"/>
        <v>4.6396219587786778</v>
      </c>
      <c r="V479" s="18">
        <f t="shared" si="426"/>
        <v>1.3535568556241122</v>
      </c>
      <c r="W479" s="32" t="str">
        <f t="shared" si="414"/>
        <v>1-6.25691189672643i</v>
      </c>
      <c r="X479" s="18">
        <f t="shared" si="427"/>
        <v>6.3363196323573145</v>
      </c>
      <c r="Y479" s="18">
        <f t="shared" si="428"/>
        <v>-1.4123134066139766</v>
      </c>
      <c r="Z479" s="32" t="str">
        <f t="shared" si="415"/>
        <v>0.336165237024974+3.07087102853187i</v>
      </c>
      <c r="AA479" s="18">
        <f t="shared" si="429"/>
        <v>3.0892160721549478</v>
      </c>
      <c r="AB479" s="18">
        <f t="shared" si="430"/>
        <v>1.4617614638178631</v>
      </c>
      <c r="AC479" s="68" t="str">
        <f t="shared" si="431"/>
        <v>-0.228126315248726-0.0117150669157892i</v>
      </c>
      <c r="AD479" s="66">
        <f t="shared" si="432"/>
        <v>-12.82505426036696</v>
      </c>
      <c r="AE479" s="63">
        <f t="shared" si="433"/>
        <v>-177.06024805856367</v>
      </c>
      <c r="AF479" s="51" t="e">
        <f t="shared" si="434"/>
        <v>#NUM!</v>
      </c>
      <c r="AG479" s="51" t="str">
        <f t="shared" si="416"/>
        <v>1-1359.17190702071i</v>
      </c>
      <c r="AH479" s="51">
        <f t="shared" si="435"/>
        <v>1359.172274891713</v>
      </c>
      <c r="AI479" s="51">
        <f t="shared" si="436"/>
        <v>-1.5700605848226001</v>
      </c>
      <c r="AJ479" s="51" t="str">
        <f t="shared" si="417"/>
        <v>1+4.53057302340237i</v>
      </c>
      <c r="AK479" s="51">
        <f t="shared" si="437"/>
        <v>4.6396219587786778</v>
      </c>
      <c r="AL479" s="51">
        <f t="shared" si="438"/>
        <v>1.3535568556241122</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-0.000170731707317073</v>
      </c>
      <c r="AT479" s="32" t="str">
        <f t="shared" si="420"/>
        <v>0.0972665394854746i</v>
      </c>
      <c r="AU479" s="32">
        <f t="shared" si="444"/>
        <v>9.7266539485474604E-2</v>
      </c>
      <c r="AV479" s="32">
        <f t="shared" si="445"/>
        <v>1.5707963267948966</v>
      </c>
      <c r="AW479" s="32" t="str">
        <f t="shared" si="421"/>
        <v>1+20.7088815092896i</v>
      </c>
      <c r="AX479" s="32">
        <f t="shared" si="446"/>
        <v>20.733011681031694</v>
      </c>
      <c r="AY479" s="32">
        <f t="shared" si="447"/>
        <v>1.5225453468123622</v>
      </c>
      <c r="AZ479" s="32" t="str">
        <f t="shared" si="422"/>
        <v>1+393.468748676504i</v>
      </c>
      <c r="BA479" s="32">
        <f t="shared" si="448"/>
        <v>393.47001942340393</v>
      </c>
      <c r="BB479" s="32">
        <f t="shared" si="449"/>
        <v>1.5682548343630289</v>
      </c>
      <c r="BC479" s="60" t="str">
        <f t="shared" si="450"/>
        <v>-0.0015221416929745+0.0332771493956406i</v>
      </c>
      <c r="BD479" s="51">
        <f t="shared" si="451"/>
        <v>-29.548000546117006</v>
      </c>
      <c r="BE479" s="63">
        <f t="shared" si="452"/>
        <v>92.61896072035897</v>
      </c>
      <c r="BF479" s="60" t="str">
        <f t="shared" si="453"/>
        <v>0.000737084607641374-0.00757356148182035i</v>
      </c>
      <c r="BG479" s="66">
        <f t="shared" si="454"/>
        <v>-42.373054806483964</v>
      </c>
      <c r="BH479" s="63">
        <f t="shared" si="455"/>
        <v>-84.441287338204702</v>
      </c>
      <c r="BI479" s="60" t="e">
        <f t="shared" si="409"/>
        <v>#NUM!</v>
      </c>
      <c r="BJ479" s="66" t="e">
        <f t="shared" si="456"/>
        <v>#NUM!</v>
      </c>
      <c r="BK479" s="63" t="e">
        <f t="shared" si="410"/>
        <v>#NUM!</v>
      </c>
      <c r="BL479" s="51">
        <f t="shared" si="457"/>
        <v>-42.373054806483964</v>
      </c>
      <c r="BM479" s="63">
        <f t="shared" si="458"/>
        <v>-84.441287338204702</v>
      </c>
    </row>
    <row r="480" spans="14:65" x14ac:dyDescent="0.3">
      <c r="N480" s="11">
        <v>62</v>
      </c>
      <c r="O480" s="52">
        <f t="shared" si="408"/>
        <v>416869.38347033598</v>
      </c>
      <c r="P480" s="50" t="str">
        <f t="shared" si="411"/>
        <v>23.3035714285714</v>
      </c>
      <c r="Q480" s="18" t="str">
        <f t="shared" si="412"/>
        <v>1+993.450776970831i</v>
      </c>
      <c r="R480" s="18">
        <f t="shared" si="423"/>
        <v>993.45128026690259</v>
      </c>
      <c r="S480" s="18">
        <f t="shared" si="424"/>
        <v>1.5697897347367509</v>
      </c>
      <c r="T480" s="18" t="str">
        <f t="shared" si="413"/>
        <v>1+4.63610362586388i</v>
      </c>
      <c r="U480" s="18">
        <f t="shared" si="425"/>
        <v>4.7427267293982069</v>
      </c>
      <c r="V480" s="18">
        <f t="shared" si="426"/>
        <v>1.3583527475218273</v>
      </c>
      <c r="W480" s="32" t="str">
        <f t="shared" si="414"/>
        <v>1-6.40265409723825i</v>
      </c>
      <c r="X480" s="18">
        <f t="shared" si="427"/>
        <v>6.4802761892439245</v>
      </c>
      <c r="Y480" s="18">
        <f t="shared" si="428"/>
        <v>-1.4158628123075481</v>
      </c>
      <c r="Z480" s="32" t="str">
        <f t="shared" si="415"/>
        <v>0.304879668500245+3.14240080369466i</v>
      </c>
      <c r="AA480" s="18">
        <f t="shared" si="429"/>
        <v>3.157156065722071</v>
      </c>
      <c r="AB480" s="18">
        <f t="shared" si="430"/>
        <v>1.474077788660406</v>
      </c>
      <c r="AC480" s="68" t="str">
        <f t="shared" si="431"/>
        <v>-0.228165617923241-0.00918064491928633i</v>
      </c>
      <c r="AD480" s="66">
        <f t="shared" si="432"/>
        <v>-12.827970440896454</v>
      </c>
      <c r="AE480" s="63">
        <f t="shared" si="433"/>
        <v>-177.69584647934118</v>
      </c>
      <c r="AF480" s="51" t="e">
        <f t="shared" si="434"/>
        <v>#NUM!</v>
      </c>
      <c r="AG480" s="51" t="str">
        <f t="shared" si="416"/>
        <v>1-1390.83108775917i</v>
      </c>
      <c r="AH480" s="51">
        <f t="shared" si="435"/>
        <v>1390.8314472564086</v>
      </c>
      <c r="AI480" s="51">
        <f t="shared" si="436"/>
        <v>-1.5700773323487101</v>
      </c>
      <c r="AJ480" s="51" t="str">
        <f t="shared" si="417"/>
        <v>1+4.63610362586388i</v>
      </c>
      <c r="AK480" s="51">
        <f t="shared" si="437"/>
        <v>4.7427267293982069</v>
      </c>
      <c r="AL480" s="51">
        <f t="shared" si="438"/>
        <v>1.3583527475218273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-0.000170731707317073</v>
      </c>
      <c r="AT480" s="32" t="str">
        <f t="shared" si="420"/>
        <v>0.0995321682388855i</v>
      </c>
      <c r="AU480" s="32">
        <f t="shared" si="444"/>
        <v>9.9532168238885499E-2</v>
      </c>
      <c r="AV480" s="32">
        <f t="shared" si="445"/>
        <v>1.5707963267948966</v>
      </c>
      <c r="AW480" s="32" t="str">
        <f t="shared" si="421"/>
        <v>1+21.1912533264286i</v>
      </c>
      <c r="AX480" s="32">
        <f t="shared" si="446"/>
        <v>21.214834846042788</v>
      </c>
      <c r="AY480" s="32">
        <f t="shared" si="447"/>
        <v>1.5236420269185795</v>
      </c>
      <c r="AZ480" s="32" t="str">
        <f t="shared" si="422"/>
        <v>1+402.633813202144i</v>
      </c>
      <c r="BA480" s="32">
        <f t="shared" si="448"/>
        <v>402.63505502340331</v>
      </c>
      <c r="BB480" s="32">
        <f t="shared" si="449"/>
        <v>1.5683126855530241</v>
      </c>
      <c r="BC480" s="60" t="str">
        <f t="shared" si="450"/>
        <v>-0.00145378624749877+0.0325228946410258i</v>
      </c>
      <c r="BD480" s="51">
        <f t="shared" si="451"/>
        <v>-29.747547065341774</v>
      </c>
      <c r="BE480" s="63">
        <f t="shared" si="452"/>
        <v>92.5594402078233</v>
      </c>
      <c r="BF480" s="60" t="str">
        <f t="shared" si="453"/>
        <v>0.000630285184935485-0.00740725965709529i</v>
      </c>
      <c r="BG480" s="66">
        <f t="shared" si="454"/>
        <v>-42.575517506238221</v>
      </c>
      <c r="BH480" s="63">
        <f t="shared" si="455"/>
        <v>-85.136406271517885</v>
      </c>
      <c r="BI480" s="60" t="e">
        <f t="shared" si="409"/>
        <v>#NUM!</v>
      </c>
      <c r="BJ480" s="66" t="e">
        <f t="shared" si="456"/>
        <v>#NUM!</v>
      </c>
      <c r="BK480" s="63" t="e">
        <f t="shared" si="410"/>
        <v>#NUM!</v>
      </c>
      <c r="BL480" s="51">
        <f t="shared" si="457"/>
        <v>-42.575517506238221</v>
      </c>
      <c r="BM480" s="63">
        <f t="shared" si="458"/>
        <v>-85.136406271517885</v>
      </c>
    </row>
    <row r="481" spans="14:65" x14ac:dyDescent="0.3">
      <c r="N481" s="11">
        <v>63</v>
      </c>
      <c r="O481" s="52">
        <f t="shared" si="408"/>
        <v>426579.51880159322</v>
      </c>
      <c r="P481" s="50" t="str">
        <f t="shared" si="411"/>
        <v>23.3035714285714</v>
      </c>
      <c r="Q481" s="18" t="str">
        <f t="shared" si="412"/>
        <v>1+1016.59121825012i</v>
      </c>
      <c r="R481" s="18">
        <f t="shared" si="423"/>
        <v>1016.5917100897799</v>
      </c>
      <c r="S481" s="18">
        <f t="shared" si="424"/>
        <v>1.5698126475544054</v>
      </c>
      <c r="T481" s="18" t="str">
        <f t="shared" si="413"/>
        <v>1+4.7440923518339i</v>
      </c>
      <c r="U481" s="18">
        <f t="shared" si="425"/>
        <v>4.848341184645415</v>
      </c>
      <c r="V481" s="18">
        <f t="shared" si="426"/>
        <v>1.363049078947008</v>
      </c>
      <c r="W481" s="32" t="str">
        <f t="shared" si="414"/>
        <v>1-6.55179106970156i</v>
      </c>
      <c r="X481" s="18">
        <f t="shared" si="427"/>
        <v>6.6276667252526442</v>
      </c>
      <c r="Y481" s="18">
        <f t="shared" si="428"/>
        <v>-1.4193352304589584</v>
      </c>
      <c r="Z481" s="32" t="str">
        <f t="shared" si="415"/>
        <v>0.272119656556002+3.21559672135815i</v>
      </c>
      <c r="AA481" s="18">
        <f t="shared" si="429"/>
        <v>3.2270902345446491</v>
      </c>
      <c r="AB481" s="18">
        <f t="shared" si="430"/>
        <v>1.4863725407884929</v>
      </c>
      <c r="AC481" s="68" t="str">
        <f t="shared" si="431"/>
        <v>-0.228157352904728-0.00664612071068034i</v>
      </c>
      <c r="AD481" s="66">
        <f t="shared" si="432"/>
        <v>-12.831627051184931</v>
      </c>
      <c r="AE481" s="63">
        <f t="shared" si="433"/>
        <v>-178.33147162911132</v>
      </c>
      <c r="AF481" s="51" t="e">
        <f t="shared" si="434"/>
        <v>#NUM!</v>
      </c>
      <c r="AG481" s="51" t="str">
        <f t="shared" si="416"/>
        <v>1-1423.22770555017i</v>
      </c>
      <c r="AH481" s="51">
        <f t="shared" si="435"/>
        <v>1423.2280568642545</v>
      </c>
      <c r="AI481" s="51">
        <f t="shared" si="436"/>
        <v>-1.5700936986549734</v>
      </c>
      <c r="AJ481" s="51" t="str">
        <f t="shared" si="417"/>
        <v>1+4.7440923518339i</v>
      </c>
      <c r="AK481" s="51">
        <f t="shared" si="437"/>
        <v>4.848341184645415</v>
      </c>
      <c r="AL481" s="51">
        <f t="shared" si="438"/>
        <v>1.363049078947008</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-0.000170731707317073</v>
      </c>
      <c r="AT481" s="32" t="str">
        <f t="shared" si="420"/>
        <v>0.101850570265361i</v>
      </c>
      <c r="AU481" s="32">
        <f t="shared" si="444"/>
        <v>0.101850570265361</v>
      </c>
      <c r="AV481" s="32">
        <f t="shared" si="445"/>
        <v>1.5707963267948966</v>
      </c>
      <c r="AW481" s="32" t="str">
        <f t="shared" si="421"/>
        <v>1+21.6848610265806i</v>
      </c>
      <c r="AX481" s="32">
        <f t="shared" si="446"/>
        <v>21.707906341748256</v>
      </c>
      <c r="AY481" s="32">
        <f t="shared" si="447"/>
        <v>1.5247138532318694</v>
      </c>
      <c r="AZ481" s="32" t="str">
        <f t="shared" si="422"/>
        <v>1+412.012359505033i</v>
      </c>
      <c r="BA481" s="32">
        <f t="shared" si="448"/>
        <v>412.01357305907356</v>
      </c>
      <c r="BB481" s="32">
        <f t="shared" si="449"/>
        <v>1.5683692199052279</v>
      </c>
      <c r="BC481" s="60" t="str">
        <f t="shared" si="450"/>
        <v>-0.00138849393893367+0.0317855941391742i</v>
      </c>
      <c r="BD481" s="51">
        <f t="shared" si="451"/>
        <v>-29.9471139501102</v>
      </c>
      <c r="BE481" s="63">
        <f t="shared" si="452"/>
        <v>92.501268263479503</v>
      </c>
      <c r="BF481" s="60" t="str">
        <f t="shared" si="453"/>
        <v>0.00052804599714101-0.00724288892097382i</v>
      </c>
      <c r="BG481" s="66">
        <f t="shared" si="454"/>
        <v>-42.778741001295131</v>
      </c>
      <c r="BH481" s="63">
        <f t="shared" si="455"/>
        <v>-85.830203365631817</v>
      </c>
      <c r="BI481" s="60" t="e">
        <f t="shared" si="409"/>
        <v>#NUM!</v>
      </c>
      <c r="BJ481" s="66" t="e">
        <f t="shared" si="456"/>
        <v>#NUM!</v>
      </c>
      <c r="BK481" s="63" t="e">
        <f t="shared" si="410"/>
        <v>#NUM!</v>
      </c>
      <c r="BL481" s="51">
        <f t="shared" si="457"/>
        <v>-42.778741001295131</v>
      </c>
      <c r="BM481" s="63">
        <f t="shared" si="458"/>
        <v>-85.830203365631817</v>
      </c>
    </row>
    <row r="482" spans="14:65" x14ac:dyDescent="0.3">
      <c r="N482" s="11">
        <v>64</v>
      </c>
      <c r="O482" s="52">
        <f t="shared" si="408"/>
        <v>436515.83224016649</v>
      </c>
      <c r="P482" s="50" t="str">
        <f t="shared" si="411"/>
        <v>23.3035714285714</v>
      </c>
      <c r="Q482" s="18" t="str">
        <f t="shared" si="412"/>
        <v>1+1040.2706696495i</v>
      </c>
      <c r="R482" s="18">
        <f t="shared" si="423"/>
        <v>1040.2711502935276</v>
      </c>
      <c r="S482" s="18">
        <f t="shared" si="424"/>
        <v>1.5698350388136522</v>
      </c>
      <c r="T482" s="18" t="str">
        <f t="shared" si="413"/>
        <v>1+4.85459645836435i</v>
      </c>
      <c r="U482" s="18">
        <f t="shared" si="425"/>
        <v>4.956521640582606</v>
      </c>
      <c r="V482" s="18">
        <f t="shared" si="426"/>
        <v>1.3676475109315531</v>
      </c>
      <c r="W482" s="32" t="str">
        <f t="shared" si="414"/>
        <v>1-6.70440188851322i</v>
      </c>
      <c r="X482" s="18">
        <f t="shared" si="427"/>
        <v>6.7785695159598118</v>
      </c>
      <c r="Y482" s="18">
        <f t="shared" si="428"/>
        <v>-1.4227321670633815</v>
      </c>
      <c r="Z482" s="32" t="str">
        <f t="shared" si="415"/>
        <v>0.2378157128147+3.29049759096676i</v>
      </c>
      <c r="AA482" s="18">
        <f t="shared" si="429"/>
        <v>3.2990802823544043</v>
      </c>
      <c r="AB482" s="18">
        <f t="shared" si="430"/>
        <v>1.4986482926860416</v>
      </c>
      <c r="AC482" s="68" t="str">
        <f t="shared" si="431"/>
        <v>-0.228101191860429-0.00411189309998709i</v>
      </c>
      <c r="AD482" s="66">
        <f t="shared" si="432"/>
        <v>-12.836037859771899</v>
      </c>
      <c r="AE482" s="63">
        <f t="shared" si="433"/>
        <v>-178.96726271345793</v>
      </c>
      <c r="AF482" s="51" t="e">
        <f t="shared" si="434"/>
        <v>#NUM!</v>
      </c>
      <c r="AG482" s="51" t="str">
        <f t="shared" si="416"/>
        <v>1-1456.37893750931i</v>
      </c>
      <c r="AH482" s="51">
        <f t="shared" si="435"/>
        <v>1456.3792808265114</v>
      </c>
      <c r="AI482" s="51">
        <f t="shared" si="436"/>
        <v>-1.5701096924189872</v>
      </c>
      <c r="AJ482" s="51" t="str">
        <f t="shared" si="417"/>
        <v>1+4.85459645836435i</v>
      </c>
      <c r="AK482" s="51">
        <f t="shared" si="437"/>
        <v>4.956521640582606</v>
      </c>
      <c r="AL482" s="51">
        <f t="shared" si="438"/>
        <v>1.3676475109315531</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-0.000170731707317073</v>
      </c>
      <c r="AT482" s="32" t="str">
        <f t="shared" si="420"/>
        <v>0.104222974812342i</v>
      </c>
      <c r="AU482" s="32">
        <f t="shared" si="444"/>
        <v>0.104222974812342</v>
      </c>
      <c r="AV482" s="32">
        <f t="shared" si="445"/>
        <v>1.5707963267948966</v>
      </c>
      <c r="AW482" s="32" t="str">
        <f t="shared" si="421"/>
        <v>1+22.189966327082i</v>
      </c>
      <c r="AX482" s="32">
        <f t="shared" si="446"/>
        <v>22.212487604881922</v>
      </c>
      <c r="AY482" s="32">
        <f t="shared" si="447"/>
        <v>1.5257613841925155</v>
      </c>
      <c r="AZ482" s="32" t="str">
        <f t="shared" si="422"/>
        <v>1+421.609360214558i</v>
      </c>
      <c r="BA482" s="32">
        <f t="shared" si="448"/>
        <v>421.61054614481469</v>
      </c>
      <c r="BB482" s="32">
        <f t="shared" si="449"/>
        <v>1.568424467393456</v>
      </c>
      <c r="BC482" s="60" t="str">
        <f t="shared" si="450"/>
        <v>-0.00132612807571644+0.0310648762263874i</v>
      </c>
      <c r="BD482" s="51">
        <f t="shared" si="451"/>
        <v>-30.146700287725089</v>
      </c>
      <c r="BE482" s="63">
        <f t="shared" si="452"/>
        <v>92.444414608429369</v>
      </c>
      <c r="BF482" s="60" t="str">
        <f t="shared" si="453"/>
        <v>0.000430226844837733-0.00708048239535143i</v>
      </c>
      <c r="BG482" s="66">
        <f t="shared" si="454"/>
        <v>-42.982738147496995</v>
      </c>
      <c r="BH482" s="63">
        <f t="shared" si="455"/>
        <v>-86.522848105028544</v>
      </c>
      <c r="BI482" s="60" t="e">
        <f t="shared" si="409"/>
        <v>#NUM!</v>
      </c>
      <c r="BJ482" s="66" t="e">
        <f t="shared" si="456"/>
        <v>#NUM!</v>
      </c>
      <c r="BK482" s="63" t="e">
        <f t="shared" si="410"/>
        <v>#NUM!</v>
      </c>
      <c r="BL482" s="51">
        <f t="shared" si="457"/>
        <v>-42.982738147496995</v>
      </c>
      <c r="BM482" s="63">
        <f t="shared" si="458"/>
        <v>-86.522848105028544</v>
      </c>
    </row>
    <row r="483" spans="14:65" x14ac:dyDescent="0.3">
      <c r="N483" s="11">
        <v>65</v>
      </c>
      <c r="O483" s="52">
        <f t="shared" si="408"/>
        <v>446683.59215096442</v>
      </c>
      <c r="P483" s="50" t="str">
        <f t="shared" si="411"/>
        <v>23.3035714285714</v>
      </c>
      <c r="Q483" s="18" t="str">
        <f t="shared" si="412"/>
        <v>1+1064.50168632755i</v>
      </c>
      <c r="R483" s="18">
        <f t="shared" si="423"/>
        <v>1064.5021560307887</v>
      </c>
      <c r="S483" s="18">
        <f t="shared" si="424"/>
        <v>1.5698569203865438</v>
      </c>
      <c r="T483" s="18" t="str">
        <f t="shared" si="413"/>
        <v>1+4.96767453619522i</v>
      </c>
      <c r="U483" s="18">
        <f t="shared" si="425"/>
        <v>5.0673257540405272</v>
      </c>
      <c r="V483" s="18">
        <f t="shared" si="426"/>
        <v>1.37214970336841</v>
      </c>
      <c r="W483" s="32" t="str">
        <f t="shared" si="414"/>
        <v>1-6.86056746994945i</v>
      </c>
      <c r="X483" s="18">
        <f t="shared" si="427"/>
        <v>6.9330646910099283</v>
      </c>
      <c r="Y483" s="18">
        <f t="shared" si="428"/>
        <v>-1.4260551094766667</v>
      </c>
      <c r="Z483" s="32" t="str">
        <f t="shared" si="415"/>
        <v>0.201895074012441+3.367143125953i</v>
      </c>
      <c r="AA483" s="18">
        <f t="shared" si="429"/>
        <v>3.3731905448051744</v>
      </c>
      <c r="AB483" s="18">
        <f t="shared" si="430"/>
        <v>1.5109076814095184</v>
      </c>
      <c r="AC483" s="68" t="str">
        <f t="shared" si="431"/>
        <v>-0.227996791264474-0.00157836621678987i</v>
      </c>
      <c r="AD483" s="66">
        <f t="shared" si="432"/>
        <v>-12.841217172154689</v>
      </c>
      <c r="AE483" s="63">
        <f t="shared" si="433"/>
        <v>-179.60336161915788</v>
      </c>
      <c r="AF483" s="51" t="e">
        <f t="shared" si="434"/>
        <v>#NUM!</v>
      </c>
      <c r="AG483" s="51" t="str">
        <f t="shared" si="416"/>
        <v>1-1490.30236085857i</v>
      </c>
      <c r="AH483" s="51">
        <f t="shared" si="435"/>
        <v>1490.3026963609195</v>
      </c>
      <c r="AI483" s="51">
        <f t="shared" si="436"/>
        <v>-1.570125322120824</v>
      </c>
      <c r="AJ483" s="51" t="str">
        <f t="shared" si="417"/>
        <v>1+4.96767453619522i</v>
      </c>
      <c r="AK483" s="51">
        <f t="shared" si="437"/>
        <v>5.0673257540405272</v>
      </c>
      <c r="AL483" s="51">
        <f t="shared" si="438"/>
        <v>1.37214970336841</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-0.000170731707317073</v>
      </c>
      <c r="AT483" s="32" t="str">
        <f t="shared" si="420"/>
        <v>0.106650639760123i</v>
      </c>
      <c r="AU483" s="32">
        <f t="shared" si="444"/>
        <v>0.106650639760123</v>
      </c>
      <c r="AV483" s="32">
        <f t="shared" si="445"/>
        <v>1.5707963267948966</v>
      </c>
      <c r="AW483" s="32" t="str">
        <f t="shared" si="421"/>
        <v>1+22.7068370414489i</v>
      </c>
      <c r="AX483" s="32">
        <f t="shared" si="446"/>
        <v>22.728846174562314</v>
      </c>
      <c r="AY483" s="32">
        <f t="shared" si="447"/>
        <v>1.5267851660142433</v>
      </c>
      <c r="AZ483" s="32" t="str">
        <f t="shared" si="422"/>
        <v>1+431.429903787531i</v>
      </c>
      <c r="BA483" s="32">
        <f t="shared" si="448"/>
        <v>431.4310627227926</v>
      </c>
      <c r="BB483" s="32">
        <f t="shared" si="449"/>
        <v>1.5684784573093076</v>
      </c>
      <c r="BC483" s="60" t="str">
        <f t="shared" si="450"/>
        <v>-0.00126655801573861+0.0303603767543706i</v>
      </c>
      <c r="BD483" s="51">
        <f t="shared" si="451"/>
        <v>-30.346305206225036</v>
      </c>
      <c r="BE483" s="63">
        <f t="shared" si="452"/>
        <v>92.388849625216736</v>
      </c>
      <c r="BF483" s="60" t="str">
        <f t="shared" si="453"/>
        <v>0.000336690956536813-0.00692006938919338i</v>
      </c>
      <c r="BG483" s="66">
        <f t="shared" si="454"/>
        <v>-43.187522378379725</v>
      </c>
      <c r="BH483" s="63">
        <f t="shared" si="455"/>
        <v>-87.214511993941144</v>
      </c>
      <c r="BI483" s="60" t="e">
        <f t="shared" si="409"/>
        <v>#NUM!</v>
      </c>
      <c r="BJ483" s="66" t="e">
        <f t="shared" si="456"/>
        <v>#NUM!</v>
      </c>
      <c r="BK483" s="63" t="e">
        <f t="shared" si="410"/>
        <v>#NUM!</v>
      </c>
      <c r="BL483" s="51">
        <f t="shared" si="457"/>
        <v>-43.187522378379725</v>
      </c>
      <c r="BM483" s="63">
        <f t="shared" si="458"/>
        <v>-87.214511993941144</v>
      </c>
    </row>
    <row r="484" spans="14:65" x14ac:dyDescent="0.3">
      <c r="N484" s="11">
        <v>66</v>
      </c>
      <c r="O484" s="52">
        <f t="shared" ref="O484:O518" si="459">10^(5+(N484/100))</f>
        <v>457088.18961487547</v>
      </c>
      <c r="P484" s="50" t="str">
        <f t="shared" si="411"/>
        <v>23.3035714285714</v>
      </c>
      <c r="Q484" s="18" t="str">
        <f t="shared" si="412"/>
        <v>1+1089.29711589002i</v>
      </c>
      <c r="R484" s="18">
        <f t="shared" si="423"/>
        <v>1089.2975749015122</v>
      </c>
      <c r="S484" s="18">
        <f t="shared" si="424"/>
        <v>1.5698783038748956</v>
      </c>
      <c r="T484" s="18" t="str">
        <f t="shared" si="413"/>
        <v>1+5.0833865408201i</v>
      </c>
      <c r="U484" s="18">
        <f t="shared" si="425"/>
        <v>5.1808125543577557</v>
      </c>
      <c r="V484" s="18">
        <f t="shared" si="426"/>
        <v>1.376557312968185</v>
      </c>
      <c r="W484" s="32" t="str">
        <f t="shared" si="414"/>
        <v>1-7.02037061506856i</v>
      </c>
      <c r="X484" s="18">
        <f t="shared" si="427"/>
        <v>7.091234277114113</v>
      </c>
      <c r="Y484" s="18">
        <f t="shared" si="428"/>
        <v>-1.4293055258804359</v>
      </c>
      <c r="Z484" s="32" t="str">
        <f t="shared" si="415"/>
        <v>0.164281547658382+3.445573964794i</v>
      </c>
      <c r="AA484" s="18">
        <f t="shared" si="429"/>
        <v>3.4494881321389226</v>
      </c>
      <c r="AB484" s="18">
        <f t="shared" si="430"/>
        <v>1.5231533992463617</v>
      </c>
      <c r="AC484" s="68" t="str">
        <f t="shared" si="431"/>
        <v>-0.227843791292359+0.000954047326142318i</v>
      </c>
      <c r="AD484" s="66">
        <f t="shared" si="432"/>
        <v>-12.847179881740283</v>
      </c>
      <c r="AE484" s="63">
        <f t="shared" si="433"/>
        <v>179.76008753426149</v>
      </c>
      <c r="AF484" s="51" t="e">
        <f t="shared" si="434"/>
        <v>#NUM!</v>
      </c>
      <c r="AG484" s="51" t="str">
        <f t="shared" si="416"/>
        <v>1-1525.01596224603i</v>
      </c>
      <c r="AH484" s="51">
        <f t="shared" si="435"/>
        <v>1525.0162901114156</v>
      </c>
      <c r="AI484" s="51">
        <f t="shared" si="436"/>
        <v>-1.5701405960475281</v>
      </c>
      <c r="AJ484" s="51" t="str">
        <f t="shared" si="417"/>
        <v>1+5.0833865408201i</v>
      </c>
      <c r="AK484" s="51">
        <f t="shared" si="437"/>
        <v>5.1808125543577557</v>
      </c>
      <c r="AL484" s="51">
        <f t="shared" si="438"/>
        <v>1.376557312968185</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-0.000170731707317073</v>
      </c>
      <c r="AT484" s="32" t="str">
        <f t="shared" si="420"/>
        <v>0.109134852288793i</v>
      </c>
      <c r="AU484" s="32">
        <f t="shared" si="444"/>
        <v>0.10913485228879299</v>
      </c>
      <c r="AV484" s="32">
        <f t="shared" si="445"/>
        <v>1.5707963267948966</v>
      </c>
      <c r="AW484" s="32" t="str">
        <f t="shared" si="421"/>
        <v>1+23.2357472213757i</v>
      </c>
      <c r="AX484" s="32">
        <f t="shared" si="446"/>
        <v>23.257255834162134</v>
      </c>
      <c r="AY484" s="32">
        <f t="shared" si="447"/>
        <v>1.5277857329303945</v>
      </c>
      <c r="AZ484" s="32" t="str">
        <f t="shared" si="422"/>
        <v>1+441.479197206139i</v>
      </c>
      <c r="BA484" s="32">
        <f t="shared" si="448"/>
        <v>441.48032976088189</v>
      </c>
      <c r="BB484" s="32">
        <f t="shared" si="449"/>
        <v>1.5685312182776914</v>
      </c>
      <c r="BC484" s="60" t="str">
        <f t="shared" si="450"/>
        <v>-0.00120965890304989+0.0296717389814312i</v>
      </c>
      <c r="BD484" s="51">
        <f t="shared" si="451"/>
        <v>-30.54592787258099</v>
      </c>
      <c r="BE484" s="63">
        <f t="shared" si="452"/>
        <v>92.334544344612226</v>
      </c>
      <c r="BF484" s="60" t="str">
        <f t="shared" si="453"/>
        <v>0.000247305027404216-0.00676167557560856i</v>
      </c>
      <c r="BG484" s="66">
        <f t="shared" si="454"/>
        <v>-43.393107754321278</v>
      </c>
      <c r="BH484" s="63">
        <f t="shared" si="455"/>
        <v>-87.905368121126287</v>
      </c>
      <c r="BI484" s="60" t="e">
        <f t="shared" si="409"/>
        <v>#NUM!</v>
      </c>
      <c r="BJ484" s="66" t="e">
        <f t="shared" si="456"/>
        <v>#NUM!</v>
      </c>
      <c r="BK484" s="63" t="e">
        <f t="shared" si="410"/>
        <v>#NUM!</v>
      </c>
      <c r="BL484" s="51">
        <f t="shared" si="457"/>
        <v>-43.393107754321278</v>
      </c>
      <c r="BM484" s="63">
        <f t="shared" si="458"/>
        <v>-87.905368121126287</v>
      </c>
    </row>
    <row r="485" spans="14:65" x14ac:dyDescent="0.3">
      <c r="N485" s="11">
        <v>67</v>
      </c>
      <c r="O485" s="52">
        <f t="shared" si="459"/>
        <v>467735.14128719864</v>
      </c>
      <c r="P485" s="50" t="str">
        <f t="shared" si="411"/>
        <v>23.3035714285714</v>
      </c>
      <c r="Q485" s="18" t="str">
        <f t="shared" si="412"/>
        <v>1+1114.67010520189i</v>
      </c>
      <c r="R485" s="18">
        <f t="shared" si="423"/>
        <v>1114.6705537650093</v>
      </c>
      <c r="S485" s="18">
        <f t="shared" si="424"/>
        <v>1.5698992006164383</v>
      </c>
      <c r="T485" s="18" t="str">
        <f t="shared" si="413"/>
        <v>1+5.20179382427551i</v>
      </c>
      <c r="U485" s="18">
        <f t="shared" si="425"/>
        <v>5.2970424757850338</v>
      </c>
      <c r="V485" s="18">
        <f t="shared" si="426"/>
        <v>1.3808719913630405</v>
      </c>
      <c r="W485" s="32" t="str">
        <f t="shared" si="414"/>
        <v>1-7.18389605361338i</v>
      </c>
      <c r="X485" s="18">
        <f t="shared" si="427"/>
        <v>7.2531622420239508</v>
      </c>
      <c r="Y485" s="18">
        <f t="shared" si="428"/>
        <v>-1.4324848648146118</v>
      </c>
      <c r="Z485" s="32" t="str">
        <f t="shared" si="415"/>
        <v>0.124895350420179+3.52583169255872i</v>
      </c>
      <c r="AA485" s="18">
        <f t="shared" si="429"/>
        <v>3.5280430797834752</v>
      </c>
      <c r="AB485" s="18">
        <f t="shared" si="430"/>
        <v>1.5353881843608939</v>
      </c>
      <c r="AC485" s="68" t="str">
        <f t="shared" si="431"/>
        <v>-0.227641815006158+0.00348492315216831i</v>
      </c>
      <c r="AD485" s="66">
        <f t="shared" si="432"/>
        <v>-12.853941517126737</v>
      </c>
      <c r="AE485" s="63">
        <f t="shared" si="433"/>
        <v>179.12293884826497</v>
      </c>
      <c r="AF485" s="51" t="e">
        <f t="shared" si="434"/>
        <v>#NUM!</v>
      </c>
      <c r="AG485" s="51" t="str">
        <f t="shared" si="416"/>
        <v>1-1560.53814728265i</v>
      </c>
      <c r="AH485" s="51">
        <f t="shared" si="435"/>
        <v>1560.5384676849096</v>
      </c>
      <c r="AI485" s="51">
        <f t="shared" si="436"/>
        <v>-1.5701555222975092</v>
      </c>
      <c r="AJ485" s="51" t="str">
        <f t="shared" si="417"/>
        <v>1+5.20179382427551i</v>
      </c>
      <c r="AK485" s="51">
        <f t="shared" si="437"/>
        <v>5.2970424757850338</v>
      </c>
      <c r="AL485" s="51">
        <f t="shared" si="438"/>
        <v>1.3808719913630405</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-0.000170731707317073</v>
      </c>
      <c r="AT485" s="32" t="str">
        <f t="shared" si="420"/>
        <v>0.111676929560717i</v>
      </c>
      <c r="AU485" s="32">
        <f t="shared" si="444"/>
        <v>0.11167692956071699</v>
      </c>
      <c r="AV485" s="32">
        <f t="shared" si="445"/>
        <v>1.5707963267948966</v>
      </c>
      <c r="AW485" s="32" t="str">
        <f t="shared" si="421"/>
        <v>1+23.7769773020407i</v>
      </c>
      <c r="AX485" s="32">
        <f t="shared" si="446"/>
        <v>23.79799675648685</v>
      </c>
      <c r="AY485" s="32">
        <f t="shared" si="447"/>
        <v>1.5287636074366149</v>
      </c>
      <c r="AZ485" s="32" t="str">
        <f t="shared" si="422"/>
        <v>1+451.762568738774i</v>
      </c>
      <c r="BA485" s="32">
        <f t="shared" si="448"/>
        <v>451.76367551348739</v>
      </c>
      <c r="BB485" s="32">
        <f t="shared" si="449"/>
        <v>1.5685827782719954</v>
      </c>
      <c r="BC485" s="60" t="str">
        <f t="shared" si="450"/>
        <v>-0.00115531141563048+0.0289986134620826i</v>
      </c>
      <c r="BD485" s="51">
        <f t="shared" si="451"/>
        <v>-30.745567490971304</v>
      </c>
      <c r="BE485" s="63">
        <f t="shared" si="452"/>
        <v>92.28147043257772</v>
      </c>
      <c r="BF485" s="60" t="str">
        <f t="shared" si="453"/>
        <v>0.000161939248116665-0.00660532317267078i</v>
      </c>
      <c r="BG485" s="66">
        <f t="shared" si="454"/>
        <v>-43.599509008098053</v>
      </c>
      <c r="BH485" s="63">
        <f t="shared" si="455"/>
        <v>-88.595590719157315</v>
      </c>
      <c r="BI485" s="60" t="e">
        <f t="shared" si="409"/>
        <v>#NUM!</v>
      </c>
      <c r="BJ485" s="66" t="e">
        <f t="shared" si="456"/>
        <v>#NUM!</v>
      </c>
      <c r="BK485" s="63" t="e">
        <f t="shared" si="410"/>
        <v>#NUM!</v>
      </c>
      <c r="BL485" s="51">
        <f t="shared" si="457"/>
        <v>-43.599509008098053</v>
      </c>
      <c r="BM485" s="63">
        <f t="shared" si="458"/>
        <v>-88.595590719157315</v>
      </c>
    </row>
    <row r="486" spans="14:65" x14ac:dyDescent="0.3">
      <c r="N486" s="11">
        <v>68</v>
      </c>
      <c r="O486" s="52">
        <f t="shared" si="459"/>
        <v>478630.09232263872</v>
      </c>
      <c r="P486" s="50" t="str">
        <f t="shared" si="411"/>
        <v>23.3035714285714</v>
      </c>
      <c r="Q486" s="18" t="str">
        <f t="shared" si="412"/>
        <v>1+1140.63410735795i</v>
      </c>
      <c r="R486" s="18">
        <f t="shared" si="423"/>
        <v>1140.6345457105299</v>
      </c>
      <c r="S486" s="18">
        <f t="shared" si="424"/>
        <v>1.5699196216908275</v>
      </c>
      <c r="T486" s="18" t="str">
        <f t="shared" si="413"/>
        <v>1+5.32295916767043i</v>
      </c>
      <c r="U486" s="18">
        <f t="shared" si="425"/>
        <v>5.4160773905739834</v>
      </c>
      <c r="V486" s="18">
        <f t="shared" si="426"/>
        <v>1.3850953833513211</v>
      </c>
      <c r="W486" s="32" t="str">
        <f t="shared" si="414"/>
        <v>1-7.35123048893594i</v>
      </c>
      <c r="X486" s="18">
        <f t="shared" si="427"/>
        <v>7.4189345395050719</v>
      </c>
      <c r="Y486" s="18">
        <f t="shared" si="428"/>
        <v>-1.4355945547730322</v>
      </c>
      <c r="Z486" s="32" t="str">
        <f t="shared" si="415"/>
        <v>0.08365293889289+3.60795886295673i</v>
      </c>
      <c r="AA486" s="18">
        <f t="shared" si="429"/>
        <v>3.6089285073236677</v>
      </c>
      <c r="AB486" s="18">
        <f t="shared" si="430"/>
        <v>1.5476148114321155</v>
      </c>
      <c r="AC486" s="68" t="str">
        <f t="shared" si="431"/>
        <v>-0.227390467837997+0.00601382174184318i</v>
      </c>
      <c r="AD486" s="66">
        <f t="shared" si="432"/>
        <v>-12.861518285737894</v>
      </c>
      <c r="AE486" s="63">
        <f t="shared" si="433"/>
        <v>178.48504510397404</v>
      </c>
      <c r="AF486" s="51" t="e">
        <f t="shared" si="434"/>
        <v>#NUM!</v>
      </c>
      <c r="AG486" s="51" t="str">
        <f t="shared" si="416"/>
        <v>1-1596.88775030113i</v>
      </c>
      <c r="AH486" s="51">
        <f t="shared" si="435"/>
        <v>1596.8880634101454</v>
      </c>
      <c r="AI486" s="51">
        <f t="shared" si="436"/>
        <v>-1.5701701087848361</v>
      </c>
      <c r="AJ486" s="51" t="str">
        <f t="shared" si="417"/>
        <v>1+5.32295916767043i</v>
      </c>
      <c r="AK486" s="51">
        <f t="shared" si="437"/>
        <v>5.4160773905739834</v>
      </c>
      <c r="AL486" s="51">
        <f t="shared" si="438"/>
        <v>1.3850953833513211</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-0.000170731707317073</v>
      </c>
      <c r="AT486" s="32" t="str">
        <f t="shared" si="420"/>
        <v>0.114278219418913i</v>
      </c>
      <c r="AU486" s="32">
        <f t="shared" si="444"/>
        <v>0.114278219418913</v>
      </c>
      <c r="AV486" s="32">
        <f t="shared" si="445"/>
        <v>1.5707963267948966</v>
      </c>
      <c r="AW486" s="32" t="str">
        <f t="shared" si="421"/>
        <v>1+24.3308142507968i</v>
      </c>
      <c r="AX486" s="32">
        <f t="shared" si="446"/>
        <v>24.351355652340519</v>
      </c>
      <c r="AY486" s="32">
        <f t="shared" si="447"/>
        <v>1.5297193005299985</v>
      </c>
      <c r="AZ486" s="32" t="str">
        <f t="shared" si="422"/>
        <v>1+462.285470765141i</v>
      </c>
      <c r="BA486" s="32">
        <f t="shared" si="448"/>
        <v>462.28655234664569</v>
      </c>
      <c r="BB486" s="32">
        <f t="shared" si="449"/>
        <v>1.568633164628914</v>
      </c>
      <c r="BC486" s="60" t="str">
        <f t="shared" si="450"/>
        <v>-0.00110340152380125+0.0283406579353521i</v>
      </c>
      <c r="BD486" s="51">
        <f t="shared" si="451"/>
        <v>-30.945223301132017</v>
      </c>
      <c r="BE486" s="63">
        <f t="shared" si="452"/>
        <v>92.229600177413516</v>
      </c>
      <c r="BF486" s="60" t="str">
        <f t="shared" si="453"/>
        <v>0.0000804673238405641-0.00645103112683018i</v>
      </c>
      <c r="BG486" s="66">
        <f t="shared" si="454"/>
        <v>-43.806741586869904</v>
      </c>
      <c r="BH486" s="63">
        <f t="shared" si="455"/>
        <v>-89.285354718612439</v>
      </c>
      <c r="BI486" s="60" t="e">
        <f t="shared" si="409"/>
        <v>#NUM!</v>
      </c>
      <c r="BJ486" s="66" t="e">
        <f t="shared" si="456"/>
        <v>#NUM!</v>
      </c>
      <c r="BK486" s="63" t="e">
        <f t="shared" si="410"/>
        <v>#NUM!</v>
      </c>
      <c r="BL486" s="51">
        <f t="shared" si="457"/>
        <v>-43.806741586869904</v>
      </c>
      <c r="BM486" s="63">
        <f t="shared" si="458"/>
        <v>-89.285354718612439</v>
      </c>
    </row>
    <row r="487" spans="14:65" x14ac:dyDescent="0.3">
      <c r="N487" s="11">
        <v>69</v>
      </c>
      <c r="O487" s="52">
        <f t="shared" si="459"/>
        <v>489778.81936844654</v>
      </c>
      <c r="P487" s="50" t="str">
        <f t="shared" si="411"/>
        <v>23.3035714285714</v>
      </c>
      <c r="Q487" s="18" t="str">
        <f t="shared" si="412"/>
        <v>1+1167.2028888158i</v>
      </c>
      <c r="R487" s="18">
        <f t="shared" si="423"/>
        <v>1167.2033171902608</v>
      </c>
      <c r="S487" s="18">
        <f t="shared" si="424"/>
        <v>1.5699395779255192</v>
      </c>
      <c r="T487" s="18" t="str">
        <f t="shared" si="413"/>
        <v>1+5.44694681447376i</v>
      </c>
      <c r="U487" s="18">
        <f t="shared" si="425"/>
        <v>5.5379806427709592</v>
      </c>
      <c r="V487" s="18">
        <f t="shared" si="426"/>
        <v>1.3892291252764346</v>
      </c>
      <c r="W487" s="32" t="str">
        <f t="shared" si="414"/>
        <v>1-7.52246264396878i</v>
      </c>
      <c r="X487" s="18">
        <f t="shared" si="427"/>
        <v>7.588639155336466</v>
      </c>
      <c r="Y487" s="18">
        <f t="shared" si="428"/>
        <v>-1.4386360038580235</v>
      </c>
      <c r="Z487" s="32" t="str">
        <f t="shared" si="415"/>
        <v>0.0404668323921999+3.69199902090086i</v>
      </c>
      <c r="AA487" s="18">
        <f t="shared" si="429"/>
        <v>3.6922207863096119</v>
      </c>
      <c r="AB487" s="18">
        <f t="shared" si="430"/>
        <v>1.5598360822866244</v>
      </c>
      <c r="AC487" s="68" t="str">
        <f t="shared" si="431"/>
        <v>-0.227089337378688+0.0085402849747846i</v>
      </c>
      <c r="AD487" s="66">
        <f t="shared" si="432"/>
        <v>-12.869927113831352</v>
      </c>
      <c r="AE487" s="63">
        <f t="shared" si="433"/>
        <v>177.84625822543302</v>
      </c>
      <c r="AF487" s="51" t="e">
        <f t="shared" si="434"/>
        <v>#NUM!</v>
      </c>
      <c r="AG487" s="51" t="str">
        <f t="shared" si="416"/>
        <v>1-1634.08404434213i</v>
      </c>
      <c r="AH487" s="51">
        <f t="shared" si="435"/>
        <v>1634.0843503239155</v>
      </c>
      <c r="AI487" s="51">
        <f t="shared" si="436"/>
        <v>-1.5701843632434322</v>
      </c>
      <c r="AJ487" s="51" t="str">
        <f t="shared" si="417"/>
        <v>1+5.44694681447376i</v>
      </c>
      <c r="AK487" s="51">
        <f t="shared" si="437"/>
        <v>5.5379806427709592</v>
      </c>
      <c r="AL487" s="51">
        <f t="shared" si="438"/>
        <v>1.3892291252764346</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-0.000170731707317073</v>
      </c>
      <c r="AT487" s="32" t="str">
        <f t="shared" si="420"/>
        <v>0.116940101101696i</v>
      </c>
      <c r="AU487" s="32">
        <f t="shared" si="444"/>
        <v>0.116940101101696</v>
      </c>
      <c r="AV487" s="32">
        <f t="shared" si="445"/>
        <v>1.5707963267948966</v>
      </c>
      <c r="AW487" s="32" t="str">
        <f t="shared" si="421"/>
        <v>1+24.8975517193251i</v>
      </c>
      <c r="AX487" s="32">
        <f t="shared" si="446"/>
        <v>24.917625922556674</v>
      </c>
      <c r="AY487" s="32">
        <f t="shared" si="447"/>
        <v>1.5306533119446415</v>
      </c>
      <c r="AZ487" s="32" t="str">
        <f t="shared" si="422"/>
        <v>1+473.053482667178i</v>
      </c>
      <c r="BA487" s="32">
        <f t="shared" si="448"/>
        <v>473.05453962893762</v>
      </c>
      <c r="BB487" s="32">
        <f t="shared" si="449"/>
        <v>1.5686824040629364</v>
      </c>
      <c r="BC487" s="60" t="str">
        <f t="shared" si="450"/>
        <v>-0.00105382025885535+0.027697537212067i</v>
      </c>
      <c r="BD487" s="51">
        <f t="shared" si="451"/>
        <v>-31.144894576779642</v>
      </c>
      <c r="BE487" s="63">
        <f t="shared" si="452"/>
        <v>92.178906477092525</v>
      </c>
      <c r="BF487" s="60" t="str">
        <f t="shared" si="453"/>
        <v>2.76648340894573E-06-0.00629881529783267i</v>
      </c>
      <c r="BG487" s="66">
        <f t="shared" si="454"/>
        <v>-44.014821690611001</v>
      </c>
      <c r="BH487" s="63">
        <f t="shared" si="455"/>
        <v>-89.974835297474456</v>
      </c>
      <c r="BI487" s="60" t="e">
        <f t="shared" si="409"/>
        <v>#NUM!</v>
      </c>
      <c r="BJ487" s="66" t="e">
        <f t="shared" si="456"/>
        <v>#NUM!</v>
      </c>
      <c r="BK487" s="63" t="e">
        <f t="shared" si="410"/>
        <v>#NUM!</v>
      </c>
      <c r="BL487" s="51">
        <f t="shared" si="457"/>
        <v>-44.014821690611001</v>
      </c>
      <c r="BM487" s="63">
        <f t="shared" si="458"/>
        <v>-89.974835297474456</v>
      </c>
    </row>
    <row r="488" spans="14:65" x14ac:dyDescent="0.3">
      <c r="N488" s="11">
        <v>70</v>
      </c>
      <c r="O488" s="52">
        <f t="shared" si="459"/>
        <v>501187.23362727347</v>
      </c>
      <c r="P488" s="50" t="str">
        <f t="shared" si="411"/>
        <v>23.3035714285714</v>
      </c>
      <c r="Q488" s="18" t="str">
        <f t="shared" si="412"/>
        <v>1+1194.39053669507i</v>
      </c>
      <c r="R488" s="18">
        <f t="shared" si="423"/>
        <v>1194.3909553185413</v>
      </c>
      <c r="S488" s="18">
        <f t="shared" si="424"/>
        <v>1.5699590799015093</v>
      </c>
      <c r="T488" s="18" t="str">
        <f t="shared" si="413"/>
        <v>1+5.57382250457698i</v>
      </c>
      <c r="U488" s="18">
        <f t="shared" si="425"/>
        <v>5.662817082736189</v>
      </c>
      <c r="V488" s="18">
        <f t="shared" si="426"/>
        <v>1.3932748435335605</v>
      </c>
      <c r="W488" s="32" t="str">
        <f t="shared" si="414"/>
        <v>1-7.69768330826702i</v>
      </c>
      <c r="X488" s="18">
        <f t="shared" si="427"/>
        <v>7.7623661543612261</v>
      </c>
      <c r="Y488" s="18">
        <f t="shared" si="428"/>
        <v>-1.441610599489991</v>
      </c>
      <c r="Z488" s="32" t="str">
        <f t="shared" si="415"/>
        <v>-0.00475457260384005+3.77799672559526i</v>
      </c>
      <c r="AA488" s="18">
        <f t="shared" si="429"/>
        <v>3.7779997173860602</v>
      </c>
      <c r="AB488" s="18">
        <f t="shared" si="430"/>
        <v>1.5720548165287644</v>
      </c>
      <c r="AC488" s="68" t="str">
        <f t="shared" si="431"/>
        <v>-0.226737993477905+0.0110638326116416i</v>
      </c>
      <c r="AD488" s="66">
        <f t="shared" si="432"/>
        <v>-12.879185682891572</v>
      </c>
      <c r="AE488" s="63">
        <f t="shared" si="433"/>
        <v>177.20642974721255</v>
      </c>
      <c r="AF488" s="51" t="e">
        <f t="shared" si="434"/>
        <v>#NUM!</v>
      </c>
      <c r="AG488" s="51" t="str">
        <f t="shared" si="416"/>
        <v>1-1672.1467513731i</v>
      </c>
      <c r="AH488" s="51">
        <f t="shared" si="435"/>
        <v>1672.1470503898906</v>
      </c>
      <c r="AI488" s="51">
        <f t="shared" si="436"/>
        <v>-1.5701982932311773</v>
      </c>
      <c r="AJ488" s="51" t="str">
        <f t="shared" si="417"/>
        <v>1+5.57382250457698i</v>
      </c>
      <c r="AK488" s="51">
        <f t="shared" si="437"/>
        <v>5.662817082736189</v>
      </c>
      <c r="AL488" s="51">
        <f t="shared" si="438"/>
        <v>1.3932748435335605</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-0.000170731707317073</v>
      </c>
      <c r="AT488" s="32" t="str">
        <f t="shared" si="420"/>
        <v>0.119663985973969i</v>
      </c>
      <c r="AU488" s="32">
        <f t="shared" si="444"/>
        <v>0.119663985973969</v>
      </c>
      <c r="AV488" s="32">
        <f t="shared" si="445"/>
        <v>1.5707963267948966</v>
      </c>
      <c r="AW488" s="32" t="str">
        <f t="shared" si="421"/>
        <v>1+25.4774901993331i</v>
      </c>
      <c r="AX488" s="32">
        <f t="shared" si="446"/>
        <v>25.497107813575919</v>
      </c>
      <c r="AY488" s="32">
        <f t="shared" si="447"/>
        <v>1.5315661303835593</v>
      </c>
      <c r="AZ488" s="32" t="str">
        <f t="shared" si="422"/>
        <v>1+484.07231378733i</v>
      </c>
      <c r="BA488" s="32">
        <f t="shared" si="448"/>
        <v>484.07334668975454</v>
      </c>
      <c r="BB488" s="32">
        <f t="shared" si="449"/>
        <v>1.5687305226805068</v>
      </c>
      <c r="BC488" s="60" t="str">
        <f t="shared" si="450"/>
        <v>-0.00100646349150761+0.0270689230613763i</v>
      </c>
      <c r="BD488" s="51">
        <f t="shared" si="451"/>
        <v>-31.344580624102282</v>
      </c>
      <c r="BE488" s="63">
        <f t="shared" si="452"/>
        <v>92.129362826783577</v>
      </c>
      <c r="BF488" s="60" t="str">
        <f t="shared" si="453"/>
        <v>-0.0000712825211552705-0.00614868864414402i</v>
      </c>
      <c r="BG488" s="66">
        <f t="shared" si="454"/>
        <v>-44.223766306993852</v>
      </c>
      <c r="BH488" s="63">
        <f t="shared" si="455"/>
        <v>-90.664207426003856</v>
      </c>
      <c r="BI488" s="60" t="e">
        <f t="shared" si="409"/>
        <v>#NUM!</v>
      </c>
      <c r="BJ488" s="66" t="e">
        <f t="shared" si="456"/>
        <v>#NUM!</v>
      </c>
      <c r="BK488" s="63" t="e">
        <f t="shared" si="410"/>
        <v>#NUM!</v>
      </c>
      <c r="BL488" s="51">
        <f t="shared" si="457"/>
        <v>-44.223766306993852</v>
      </c>
      <c r="BM488" s="63">
        <f t="shared" si="458"/>
        <v>-90.664207426003856</v>
      </c>
    </row>
    <row r="489" spans="14:65" x14ac:dyDescent="0.3">
      <c r="N489" s="11">
        <v>71</v>
      </c>
      <c r="O489" s="52">
        <f t="shared" si="459"/>
        <v>512861.38399136515</v>
      </c>
      <c r="P489" s="50" t="str">
        <f t="shared" si="411"/>
        <v>23.3035714285714</v>
      </c>
      <c r="Q489" s="18" t="str">
        <f t="shared" si="412"/>
        <v>1+1222.21146624651i</v>
      </c>
      <c r="R489" s="18">
        <f t="shared" si="423"/>
        <v>1222.2118753409509</v>
      </c>
      <c r="S489" s="18">
        <f t="shared" si="424"/>
        <v>1.5699781379589444</v>
      </c>
      <c r="T489" s="18" t="str">
        <f t="shared" si="413"/>
        <v>1+5.70365350915037i</v>
      </c>
      <c r="U489" s="18">
        <f t="shared" si="425"/>
        <v>5.790653102409375</v>
      </c>
      <c r="V489" s="18">
        <f t="shared" si="426"/>
        <v>1.397234153197884</v>
      </c>
      <c r="W489" s="32" t="str">
        <f t="shared" si="414"/>
        <v>1-7.87698538614614i</v>
      </c>
      <c r="X489" s="18">
        <f t="shared" si="427"/>
        <v>7.9402077286151567</v>
      </c>
      <c r="Y489" s="18">
        <f t="shared" si="428"/>
        <v>-1.4445197081682755</v>
      </c>
      <c r="Z489" s="32" t="str">
        <f t="shared" si="415"/>
        <v>-0.0521071967581499+3.86599757416125i</v>
      </c>
      <c r="AA489" s="18">
        <f t="shared" si="429"/>
        <v>3.8663487172492164</v>
      </c>
      <c r="AB489" s="18">
        <f t="shared" si="430"/>
        <v>1.5842738421693756</v>
      </c>
      <c r="AC489" s="68" t="str">
        <f t="shared" si="431"/>
        <v>-0.226335988661846+0.013583958735844i</v>
      </c>
      <c r="AD489" s="66">
        <f t="shared" si="432"/>
        <v>-12.889312462408313</v>
      </c>
      <c r="AE489" s="63">
        <f t="shared" si="433"/>
        <v>176.56541128612716</v>
      </c>
      <c r="AF489" s="51" t="e">
        <f t="shared" si="434"/>
        <v>#NUM!</v>
      </c>
      <c r="AG489" s="51" t="str">
        <f t="shared" si="416"/>
        <v>1-1711.09605274511i</v>
      </c>
      <c r="AH489" s="51">
        <f t="shared" si="435"/>
        <v>1711.0963449554486</v>
      </c>
      <c r="AI489" s="51">
        <f t="shared" si="436"/>
        <v>-1.5702119061339135</v>
      </c>
      <c r="AJ489" s="51" t="str">
        <f t="shared" si="417"/>
        <v>1+5.70365350915037i</v>
      </c>
      <c r="AK489" s="51">
        <f t="shared" si="437"/>
        <v>5.790653102409375</v>
      </c>
      <c r="AL489" s="51">
        <f t="shared" si="438"/>
        <v>1.397234153197884</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-0.000170731707317073</v>
      </c>
      <c r="AT489" s="32" t="str">
        <f t="shared" si="420"/>
        <v>0.122451318275545i</v>
      </c>
      <c r="AU489" s="32">
        <f t="shared" si="444"/>
        <v>0.12245131827554501</v>
      </c>
      <c r="AV489" s="32">
        <f t="shared" si="445"/>
        <v>1.5707963267948966</v>
      </c>
      <c r="AW489" s="32" t="str">
        <f t="shared" si="421"/>
        <v>1+26.0709371818791i</v>
      </c>
      <c r="AX489" s="32">
        <f t="shared" si="446"/>
        <v>26.090108576651918</v>
      </c>
      <c r="AY489" s="32">
        <f t="shared" si="447"/>
        <v>1.5324582337469437</v>
      </c>
      <c r="AZ489" s="32" t="str">
        <f t="shared" si="422"/>
        <v>1+495.347806455703i</v>
      </c>
      <c r="BA489" s="32">
        <f t="shared" si="448"/>
        <v>495.34881584644631</v>
      </c>
      <c r="BB489" s="32">
        <f t="shared" si="449"/>
        <v>1.5687775459938615</v>
      </c>
      <c r="BC489" s="60" t="str">
        <f t="shared" si="450"/>
        <v>-0.000961231719771618+0.026454494096738i</v>
      </c>
      <c r="BD489" s="51">
        <f t="shared" si="451"/>
        <v>-31.544280780317152</v>
      </c>
      <c r="BE489" s="63">
        <f t="shared" si="452"/>
        <v>92.080943306566184</v>
      </c>
      <c r="BF489" s="60" t="str">
        <f t="shared" si="453"/>
        <v>-0.000141795424560082-0.00600066140795113i</v>
      </c>
      <c r="BG489" s="66">
        <f t="shared" si="454"/>
        <v>-44.433593242725458</v>
      </c>
      <c r="BH489" s="63">
        <f t="shared" si="455"/>
        <v>-91.353645407306658</v>
      </c>
      <c r="BI489" s="60" t="e">
        <f t="shared" si="409"/>
        <v>#NUM!</v>
      </c>
      <c r="BJ489" s="66" t="e">
        <f t="shared" si="456"/>
        <v>#NUM!</v>
      </c>
      <c r="BK489" s="63" t="e">
        <f t="shared" si="410"/>
        <v>#NUM!</v>
      </c>
      <c r="BL489" s="51">
        <f t="shared" si="457"/>
        <v>-44.433593242725458</v>
      </c>
      <c r="BM489" s="63">
        <f t="shared" si="458"/>
        <v>-91.353645407306658</v>
      </c>
    </row>
    <row r="490" spans="14:65" x14ac:dyDescent="0.3">
      <c r="N490" s="11">
        <v>72</v>
      </c>
      <c r="O490" s="52">
        <f t="shared" si="459"/>
        <v>524807.46024977288</v>
      </c>
      <c r="P490" s="50" t="str">
        <f t="shared" si="411"/>
        <v>23.3035714285714</v>
      </c>
      <c r="Q490" s="18" t="str">
        <f t="shared" si="412"/>
        <v>1+1250.68042849524i</v>
      </c>
      <c r="R490" s="18">
        <f t="shared" si="423"/>
        <v>1250.6808282775573</v>
      </c>
      <c r="S490" s="18">
        <f t="shared" si="424"/>
        <v>1.5699967622026034</v>
      </c>
      <c r="T490" s="18" t="str">
        <f t="shared" si="413"/>
        <v>1+5.83650866631111i</v>
      </c>
      <c r="U490" s="18">
        <f t="shared" si="425"/>
        <v>5.921556671342822</v>
      </c>
      <c r="V490" s="18">
        <f t="shared" si="426"/>
        <v>1.4011086567681708</v>
      </c>
      <c r="W490" s="32" t="str">
        <f t="shared" si="414"/>
        <v>1-8.06046394594127i</v>
      </c>
      <c r="X490" s="18">
        <f t="shared" si="427"/>
        <v>8.1222582465604436</v>
      </c>
      <c r="Y490" s="18">
        <f t="shared" si="428"/>
        <v>-1.4473646752797198</v>
      </c>
      <c r="Z490" s="32" t="str">
        <f t="shared" si="415"/>
        <v>-0.10169148133527+3.95604822581361i</v>
      </c>
      <c r="AA490" s="18">
        <f t="shared" si="429"/>
        <v>3.9573550159594193</v>
      </c>
      <c r="AB490" s="18">
        <f t="shared" si="430"/>
        <v>1.5964959862540118</v>
      </c>
      <c r="AC490" s="68" t="str">
        <f t="shared" si="431"/>
        <v>-0.2258828588737+0.0161001281752946i</v>
      </c>
      <c r="AD490" s="66">
        <f t="shared" si="432"/>
        <v>-12.900326739034899</v>
      </c>
      <c r="AE490" s="63">
        <f t="shared" si="433"/>
        <v>175.92305501686494</v>
      </c>
      <c r="AF490" s="51" t="e">
        <f t="shared" si="434"/>
        <v>#NUM!</v>
      </c>
      <c r="AG490" s="51" t="str">
        <f t="shared" si="416"/>
        <v>1-1750.95259989334i</v>
      </c>
      <c r="AH490" s="51">
        <f t="shared" si="435"/>
        <v>1750.9528854521607</v>
      </c>
      <c r="AI490" s="51">
        <f t="shared" si="436"/>
        <v>-1.570225209169362</v>
      </c>
      <c r="AJ490" s="51" t="str">
        <f t="shared" si="417"/>
        <v>1+5.83650866631111i</v>
      </c>
      <c r="AK490" s="51">
        <f t="shared" si="437"/>
        <v>5.921556671342822</v>
      </c>
      <c r="AL490" s="51">
        <f t="shared" si="438"/>
        <v>1.4011086567681708</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-0.000170731707317073</v>
      </c>
      <c r="AT490" s="32" t="str">
        <f t="shared" si="420"/>
        <v>0.125303575886905i</v>
      </c>
      <c r="AU490" s="32">
        <f t="shared" si="444"/>
        <v>0.12530357588690499</v>
      </c>
      <c r="AV490" s="32">
        <f t="shared" si="445"/>
        <v>1.5707963267948966</v>
      </c>
      <c r="AW490" s="32" t="str">
        <f t="shared" si="421"/>
        <v>1+26.6782073204086i</v>
      </c>
      <c r="AX490" s="32">
        <f t="shared" si="446"/>
        <v>26.696942630771467</v>
      </c>
      <c r="AY490" s="32">
        <f t="shared" si="447"/>
        <v>1.5333300893567341</v>
      </c>
      <c r="AZ490" s="32" t="str">
        <f t="shared" si="422"/>
        <v>1+506.885939087765i</v>
      </c>
      <c r="BA490" s="32">
        <f t="shared" si="448"/>
        <v>506.88692550201512</v>
      </c>
      <c r="BB490" s="32">
        <f t="shared" si="449"/>
        <v>1.5688234989345511</v>
      </c>
      <c r="BC490" s="60" t="str">
        <f t="shared" si="450"/>
        <v>-0.000918029865887321+0.0258539356615876i</v>
      </c>
      <c r="BD490" s="51">
        <f t="shared" si="451"/>
        <v>-31.743994412291361</v>
      </c>
      <c r="BE490" s="63">
        <f t="shared" si="452"/>
        <v>92.033622569338121</v>
      </c>
      <c r="BF490" s="60" t="str">
        <f t="shared" si="453"/>
        <v>-0.000208884467349313-0.00585474129888565i</v>
      </c>
      <c r="BG490" s="66">
        <f t="shared" si="454"/>
        <v>-44.644321151326253</v>
      </c>
      <c r="BH490" s="63">
        <f t="shared" si="455"/>
        <v>-92.043322413796929</v>
      </c>
      <c r="BI490" s="60" t="e">
        <f t="shared" si="409"/>
        <v>#NUM!</v>
      </c>
      <c r="BJ490" s="66" t="e">
        <f t="shared" si="456"/>
        <v>#NUM!</v>
      </c>
      <c r="BK490" s="63" t="e">
        <f t="shared" si="410"/>
        <v>#NUM!</v>
      </c>
      <c r="BL490" s="51">
        <f t="shared" si="457"/>
        <v>-44.644321151326253</v>
      </c>
      <c r="BM490" s="63">
        <f t="shared" si="458"/>
        <v>-92.043322413796929</v>
      </c>
    </row>
    <row r="491" spans="14:65" x14ac:dyDescent="0.3">
      <c r="N491" s="11">
        <v>73</v>
      </c>
      <c r="O491" s="52">
        <f t="shared" si="459"/>
        <v>537031.7963702539</v>
      </c>
      <c r="P491" s="50" t="str">
        <f t="shared" si="411"/>
        <v>23.3035714285714</v>
      </c>
      <c r="Q491" s="18" t="str">
        <f t="shared" si="412"/>
        <v>1+1279.81251806187i</v>
      </c>
      <c r="R491" s="18">
        <f t="shared" si="423"/>
        <v>1279.8129087440336</v>
      </c>
      <c r="S491" s="18">
        <f t="shared" si="424"/>
        <v>1.5700149625072553</v>
      </c>
      <c r="T491" s="18" t="str">
        <f t="shared" si="413"/>
        <v>1+5.97245841762206i</v>
      </c>
      <c r="U491" s="18">
        <f t="shared" si="425"/>
        <v>6.0555973735234909</v>
      </c>
      <c r="V491" s="18">
        <f t="shared" si="426"/>
        <v>1.4048999430196378</v>
      </c>
      <c r="W491" s="32" t="str">
        <f t="shared" si="414"/>
        <v>1-8.24821627041339i</v>
      </c>
      <c r="X491" s="18">
        <f t="shared" si="427"/>
        <v>8.3086143034510993</v>
      </c>
      <c r="Y491" s="18">
        <f t="shared" si="428"/>
        <v>-1.4501468249515534</v>
      </c>
      <c r="Z491" s="32" t="str">
        <f t="shared" si="415"/>
        <v>-0.15361260125065+4.04819642659979i</v>
      </c>
      <c r="AA491" s="18">
        <f t="shared" si="429"/>
        <v>4.0511098651602007</v>
      </c>
      <c r="AB491" s="18">
        <f t="shared" si="430"/>
        <v>1.6087240654911785</v>
      </c>
      <c r="AC491" s="68" t="str">
        <f t="shared" si="431"/>
        <v>-0.225378124541813+0.0186117729247239i</v>
      </c>
      <c r="AD491" s="66">
        <f t="shared" si="432"/>
        <v>-12.912248642105538</v>
      </c>
      <c r="AE491" s="63">
        <f t="shared" si="433"/>
        <v>175.27921415134662</v>
      </c>
      <c r="AF491" s="51" t="e">
        <f t="shared" si="434"/>
        <v>#NUM!</v>
      </c>
      <c r="AG491" s="51" t="str">
        <f t="shared" si="416"/>
        <v>1-1791.73752528662i</v>
      </c>
      <c r="AH491" s="51">
        <f t="shared" si="435"/>
        <v>1791.7378043453291</v>
      </c>
      <c r="AI491" s="51">
        <f t="shared" si="436"/>
        <v>-1.570238209390949</v>
      </c>
      <c r="AJ491" s="51" t="str">
        <f t="shared" si="417"/>
        <v>1+5.97245841762206i</v>
      </c>
      <c r="AK491" s="51">
        <f t="shared" si="437"/>
        <v>6.0555973735234909</v>
      </c>
      <c r="AL491" s="51">
        <f t="shared" si="438"/>
        <v>1.4048999430196378</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-0.000170731707317073</v>
      </c>
      <c r="AT491" s="32" t="str">
        <f t="shared" si="420"/>
        <v>0.12822227111279i</v>
      </c>
      <c r="AU491" s="32">
        <f t="shared" si="444"/>
        <v>0.12822227111279</v>
      </c>
      <c r="AV491" s="32">
        <f t="shared" si="445"/>
        <v>1.5707963267948966</v>
      </c>
      <c r="AW491" s="32" t="str">
        <f t="shared" si="421"/>
        <v>1+27.2996225975873i</v>
      </c>
      <c r="AX491" s="32">
        <f t="shared" si="446"/>
        <v>27.317931729373274</v>
      </c>
      <c r="AY491" s="32">
        <f t="shared" si="447"/>
        <v>1.5341821541774847</v>
      </c>
      <c r="AZ491" s="32" t="str">
        <f t="shared" si="422"/>
        <v>1+518.69282935416i</v>
      </c>
      <c r="BA491" s="32">
        <f t="shared" si="448"/>
        <v>518.6937933149228</v>
      </c>
      <c r="BB491" s="32">
        <f t="shared" si="449"/>
        <v>1.5688684058666564</v>
      </c>
      <c r="BC491" s="60" t="str">
        <f t="shared" si="450"/>
        <v>-0.000876767081935231+0.0252669397148826i</v>
      </c>
      <c r="BD491" s="51">
        <f t="shared" si="451"/>
        <v>-31.943720915223789</v>
      </c>
      <c r="BE491" s="63">
        <f t="shared" si="452"/>
        <v>91.987375828918061</v>
      </c>
      <c r="BF491" s="60" t="str">
        <f t="shared" si="453"/>
        <v>-0.000272658423889522-0.00571093367568814i</v>
      </c>
      <c r="BG491" s="66">
        <f t="shared" si="454"/>
        <v>-44.855969557329331</v>
      </c>
      <c r="BH491" s="63">
        <f t="shared" si="455"/>
        <v>-92.733410019735302</v>
      </c>
      <c r="BI491" s="60" t="e">
        <f t="shared" si="409"/>
        <v>#NUM!</v>
      </c>
      <c r="BJ491" s="66" t="e">
        <f t="shared" si="456"/>
        <v>#NUM!</v>
      </c>
      <c r="BK491" s="63" t="e">
        <f t="shared" si="410"/>
        <v>#NUM!</v>
      </c>
      <c r="BL491" s="51">
        <f t="shared" si="457"/>
        <v>-44.855969557329331</v>
      </c>
      <c r="BM491" s="63">
        <f t="shared" si="458"/>
        <v>-92.733410019735302</v>
      </c>
    </row>
    <row r="492" spans="14:65" x14ac:dyDescent="0.3">
      <c r="N492" s="11">
        <v>74</v>
      </c>
      <c r="O492" s="52">
        <f t="shared" si="459"/>
        <v>549540.87385762564</v>
      </c>
      <c r="P492" s="50" t="str">
        <f t="shared" si="411"/>
        <v>23.3035714285714</v>
      </c>
      <c r="Q492" s="18" t="str">
        <f t="shared" si="412"/>
        <v>1+1309.62318116589i</v>
      </c>
      <c r="R492" s="18">
        <f t="shared" si="423"/>
        <v>1309.6235629550445</v>
      </c>
      <c r="S492" s="18">
        <f t="shared" si="424"/>
        <v>1.5700327485228938</v>
      </c>
      <c r="T492" s="18" t="str">
        <f t="shared" si="413"/>
        <v>1+6.11157484544085i</v>
      </c>
      <c r="U492" s="18">
        <f t="shared" si="425"/>
        <v>6.1928464450061531</v>
      </c>
      <c r="V492" s="18">
        <f t="shared" si="426"/>
        <v>1.408609585960253</v>
      </c>
      <c r="W492" s="32" t="str">
        <f t="shared" si="414"/>
        <v>1-8.4403419083301i</v>
      </c>
      <c r="X492" s="18">
        <f t="shared" si="427"/>
        <v>8.4993747728590829</v>
      </c>
      <c r="Y492" s="18">
        <f t="shared" si="428"/>
        <v>-1.4528674599454079</v>
      </c>
      <c r="Z492" s="32" t="str">
        <f t="shared" si="415"/>
        <v>-0.20798068816081+4.14249103471554i</v>
      </c>
      <c r="AA492" s="18">
        <f t="shared" si="429"/>
        <v>4.147708757777778</v>
      </c>
      <c r="AB492" s="18">
        <f t="shared" si="430"/>
        <v>1.6209608768813071</v>
      </c>
      <c r="AC492" s="68" t="str">
        <f t="shared" si="431"/>
        <v>-0.224821291979756+0.0211182885901436i</v>
      </c>
      <c r="AD492" s="66">
        <f t="shared" si="432"/>
        <v>-12.92509916548309</v>
      </c>
      <c r="AE492" s="63">
        <f t="shared" si="433"/>
        <v>174.6337434216185</v>
      </c>
      <c r="AF492" s="51" t="e">
        <f t="shared" si="434"/>
        <v>#NUM!</v>
      </c>
      <c r="AG492" s="51" t="str">
        <f t="shared" si="416"/>
        <v>1-1833.47245363226i</v>
      </c>
      <c r="AH492" s="51">
        <f t="shared" si="435"/>
        <v>1833.4727263388183</v>
      </c>
      <c r="AI492" s="51">
        <f t="shared" si="436"/>
        <v>-1.570250913691547</v>
      </c>
      <c r="AJ492" s="51" t="str">
        <f t="shared" si="417"/>
        <v>1+6.11157484544085i</v>
      </c>
      <c r="AK492" s="51">
        <f t="shared" si="437"/>
        <v>6.1928464450061531</v>
      </c>
      <c r="AL492" s="51">
        <f t="shared" si="438"/>
        <v>1.408609585960253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-0.000170731707317073</v>
      </c>
      <c r="AT492" s="32" t="str">
        <f t="shared" si="420"/>
        <v>0.131208951484041i</v>
      </c>
      <c r="AU492" s="32">
        <f t="shared" si="444"/>
        <v>0.13120895148404099</v>
      </c>
      <c r="AV492" s="32">
        <f t="shared" si="445"/>
        <v>1.5707963267948966</v>
      </c>
      <c r="AW492" s="32" t="str">
        <f t="shared" si="421"/>
        <v>1+27.9355124960204i</v>
      </c>
      <c r="AX492" s="32">
        <f t="shared" si="446"/>
        <v>27.95340513095519</v>
      </c>
      <c r="AY492" s="32">
        <f t="shared" si="447"/>
        <v>1.5350148750335262</v>
      </c>
      <c r="AZ492" s="32" t="str">
        <f t="shared" si="422"/>
        <v>1+530.774737424388i</v>
      </c>
      <c r="BA492" s="32">
        <f t="shared" si="448"/>
        <v>530.77567944276439</v>
      </c>
      <c r="BB492" s="32">
        <f t="shared" si="449"/>
        <v>1.5689122905997024</v>
      </c>
      <c r="BC492" s="60" t="str">
        <f t="shared" si="450"/>
        <v>-0.000837356563785612+0.0246932047167098i</v>
      </c>
      <c r="BD492" s="51">
        <f t="shared" si="451"/>
        <v>-32.143459711383251</v>
      </c>
      <c r="BE492" s="63">
        <f t="shared" si="452"/>
        <v>91.942178848342962</v>
      </c>
      <c r="BF492" s="60" t="str">
        <f t="shared" si="453"/>
        <v>-0.000333222638904962-0.00556924172509818i</v>
      </c>
      <c r="BG492" s="66">
        <f t="shared" si="454"/>
        <v>-45.068558876866334</v>
      </c>
      <c r="BH492" s="63">
        <f t="shared" si="455"/>
        <v>-93.424077730038547</v>
      </c>
      <c r="BI492" s="60" t="e">
        <f t="shared" si="409"/>
        <v>#NUM!</v>
      </c>
      <c r="BJ492" s="66" t="e">
        <f t="shared" si="456"/>
        <v>#NUM!</v>
      </c>
      <c r="BK492" s="63" t="e">
        <f t="shared" si="410"/>
        <v>#NUM!</v>
      </c>
      <c r="BL492" s="51">
        <f t="shared" si="457"/>
        <v>-45.068558876866334</v>
      </c>
      <c r="BM492" s="63">
        <f t="shared" si="458"/>
        <v>-93.424077730038547</v>
      </c>
    </row>
    <row r="493" spans="14:65" x14ac:dyDescent="0.3">
      <c r="N493" s="11">
        <v>75</v>
      </c>
      <c r="O493" s="52">
        <f t="shared" si="459"/>
        <v>562341.32519035018</v>
      </c>
      <c r="P493" s="50" t="str">
        <f t="shared" si="411"/>
        <v>23.3035714285714</v>
      </c>
      <c r="Q493" s="18" t="str">
        <f t="shared" si="412"/>
        <v>1+1340.12822381549i</v>
      </c>
      <c r="R493" s="18">
        <f t="shared" si="423"/>
        <v>1340.1285969140647</v>
      </c>
      <c r="S493" s="18">
        <f t="shared" si="424"/>
        <v>1.5700501296798552</v>
      </c>
      <c r="T493" s="18" t="str">
        <f t="shared" si="413"/>
        <v>1+6.25393171113896i</v>
      </c>
      <c r="U493" s="18">
        <f t="shared" si="425"/>
        <v>6.3333768123797505</v>
      </c>
      <c r="V493" s="18">
        <f t="shared" si="426"/>
        <v>1.4122391438847564</v>
      </c>
      <c r="W493" s="32" t="str">
        <f t="shared" si="414"/>
        <v>1-8.63694272724778i</v>
      </c>
      <c r="X493" s="18">
        <f t="shared" si="427"/>
        <v>8.6946408593890929</v>
      </c>
      <c r="Y493" s="18">
        <f t="shared" si="428"/>
        <v>-1.4555278615894232</v>
      </c>
      <c r="Z493" s="32" t="str">
        <f t="shared" si="415"/>
        <v>-0.26491106406736+4.23898204641028i</v>
      </c>
      <c r="AA493" s="18">
        <f t="shared" si="429"/>
        <v>4.2472516597976604</v>
      </c>
      <c r="AB493" s="18">
        <f t="shared" si="430"/>
        <v>1.6332091883473419</v>
      </c>
      <c r="AC493" s="68" t="str">
        <f t="shared" si="431"/>
        <v>-0.224211855121906+0.0236190308775868i</v>
      </c>
      <c r="AD493" s="66">
        <f t="shared" si="432"/>
        <v>-12.938900185693871</v>
      </c>
      <c r="AE493" s="63">
        <f t="shared" si="433"/>
        <v>173.98649956607662</v>
      </c>
      <c r="AF493" s="51" t="e">
        <f t="shared" si="434"/>
        <v>#NUM!</v>
      </c>
      <c r="AG493" s="51" t="str">
        <f t="shared" si="416"/>
        <v>1-1876.17951334169i</v>
      </c>
      <c r="AH493" s="51">
        <f t="shared" si="435"/>
        <v>1876.1797798406901</v>
      </c>
      <c r="AI493" s="51">
        <f t="shared" si="436"/>
        <v>-1.5702633288071277</v>
      </c>
      <c r="AJ493" s="51" t="str">
        <f t="shared" si="417"/>
        <v>1+6.25393171113896i</v>
      </c>
      <c r="AK493" s="51">
        <f t="shared" si="437"/>
        <v>6.3333768123797505</v>
      </c>
      <c r="AL493" s="51">
        <f t="shared" si="438"/>
        <v>1.4122391438847564</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-0.000170731707317073</v>
      </c>
      <c r="AT493" s="32" t="str">
        <f t="shared" si="420"/>
        <v>0.134265200578124i</v>
      </c>
      <c r="AU493" s="32">
        <f t="shared" si="444"/>
        <v>0.13426520057812399</v>
      </c>
      <c r="AV493" s="32">
        <f t="shared" si="445"/>
        <v>1.5707963267948966</v>
      </c>
      <c r="AW493" s="32" t="str">
        <f t="shared" si="421"/>
        <v>1+28.5862141729491i</v>
      </c>
      <c r="AX493" s="32">
        <f t="shared" si="446"/>
        <v>28.603699773660679</v>
      </c>
      <c r="AY493" s="32">
        <f t="shared" si="447"/>
        <v>1.5358286888224113</v>
      </c>
      <c r="AZ493" s="32" t="str">
        <f t="shared" si="422"/>
        <v>1+543.138069286035i</v>
      </c>
      <c r="BA493" s="32">
        <f t="shared" si="448"/>
        <v>543.13898986149184</v>
      </c>
      <c r="BB493" s="32">
        <f t="shared" si="449"/>
        <v>1.5689551764012788</v>
      </c>
      <c r="BC493" s="60" t="str">
        <f t="shared" si="450"/>
        <v>-0.000799715373043371+0.0241324355141083i</v>
      </c>
      <c r="BD493" s="51">
        <f t="shared" si="451"/>
        <v>-32.343210248904356</v>
      </c>
      <c r="BE493" s="63">
        <f t="shared" si="452"/>
        <v>91.89800792836165</v>
      </c>
      <c r="BF493" s="60" t="str">
        <f t="shared" si="453"/>
        <v>-0.000390679072199535-0.00542966663731718i</v>
      </c>
      <c r="BG493" s="66">
        <f t="shared" si="454"/>
        <v>-45.282110434598231</v>
      </c>
      <c r="BH493" s="63">
        <f t="shared" si="455"/>
        <v>-94.115492505561733</v>
      </c>
      <c r="BI493" s="60" t="e">
        <f t="shared" si="409"/>
        <v>#NUM!</v>
      </c>
      <c r="BJ493" s="66" t="e">
        <f t="shared" si="456"/>
        <v>#NUM!</v>
      </c>
      <c r="BK493" s="63" t="e">
        <f t="shared" si="410"/>
        <v>#NUM!</v>
      </c>
      <c r="BL493" s="51">
        <f t="shared" si="457"/>
        <v>-45.282110434598231</v>
      </c>
      <c r="BM493" s="63">
        <f t="shared" si="458"/>
        <v>-94.115492505561733</v>
      </c>
    </row>
    <row r="494" spans="14:65" x14ac:dyDescent="0.3">
      <c r="N494" s="11">
        <v>76</v>
      </c>
      <c r="O494" s="52">
        <f t="shared" si="459"/>
        <v>575439.93733715697</v>
      </c>
      <c r="P494" s="50" t="str">
        <f t="shared" si="411"/>
        <v>23.3035714285714</v>
      </c>
      <c r="Q494" s="18" t="str">
        <f t="shared" si="412"/>
        <v>1+1371.34382018804i</v>
      </c>
      <c r="R494" s="18">
        <f t="shared" si="423"/>
        <v>1371.3441847938564</v>
      </c>
      <c r="S494" s="18">
        <f t="shared" si="424"/>
        <v>1.5700671151938168</v>
      </c>
      <c r="T494" s="18" t="str">
        <f t="shared" si="413"/>
        <v>1+6.39960449421087i</v>
      </c>
      <c r="U494" s="18">
        <f t="shared" si="425"/>
        <v>6.4772631320893517</v>
      </c>
      <c r="V494" s="18">
        <f t="shared" si="426"/>
        <v>1.4157901585208734</v>
      </c>
      <c r="W494" s="32" t="str">
        <f t="shared" si="414"/>
        <v>1-8.83812296752286i</v>
      </c>
      <c r="X494" s="18">
        <f t="shared" si="427"/>
        <v>8.8945161526108389</v>
      </c>
      <c r="Y494" s="18">
        <f t="shared" si="428"/>
        <v>-1.4581292897455758</v>
      </c>
      <c r="Z494" s="32" t="str">
        <f t="shared" si="415"/>
        <v>-0.32452448593037+4.33772062249556i</v>
      </c>
      <c r="AA494" s="18">
        <f t="shared" si="429"/>
        <v>4.349843254738226</v>
      </c>
      <c r="AB494" s="18">
        <f t="shared" si="430"/>
        <v>1.6454717293684469</v>
      </c>
      <c r="AC494" s="68" t="str">
        <f t="shared" si="431"/>
        <v>-0.223549297597294+0.0261133121492109i</v>
      </c>
      <c r="AD494" s="66">
        <f t="shared" si="432"/>
        <v>-12.953674476297239</v>
      </c>
      <c r="AE494" s="63">
        <f t="shared" si="433"/>
        <v>173.33734181878307</v>
      </c>
      <c r="AF494" s="51" t="e">
        <f t="shared" si="434"/>
        <v>#NUM!</v>
      </c>
      <c r="AG494" s="51" t="str">
        <f t="shared" si="416"/>
        <v>1-1919.88134826327i</v>
      </c>
      <c r="AH494" s="51">
        <f t="shared" si="435"/>
        <v>1919.8816086960132</v>
      </c>
      <c r="AI494" s="51">
        <f t="shared" si="436"/>
        <v>-1.5702754613203345</v>
      </c>
      <c r="AJ494" s="51" t="str">
        <f t="shared" si="417"/>
        <v>1+6.39960449421087i</v>
      </c>
      <c r="AK494" s="51">
        <f t="shared" si="437"/>
        <v>6.4772631320893517</v>
      </c>
      <c r="AL494" s="51">
        <f t="shared" si="438"/>
        <v>1.4157901585208734</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-0.000170731707317073</v>
      </c>
      <c r="AT494" s="32" t="str">
        <f t="shared" si="420"/>
        <v>0.137392638858764i</v>
      </c>
      <c r="AU494" s="32">
        <f t="shared" si="444"/>
        <v>0.13739263885876399</v>
      </c>
      <c r="AV494" s="32">
        <f t="shared" si="445"/>
        <v>1.5707963267948966</v>
      </c>
      <c r="AW494" s="32" t="str">
        <f t="shared" si="421"/>
        <v>1+29.2520726390156i</v>
      </c>
      <c r="AX494" s="32">
        <f t="shared" si="446"/>
        <v>29.2691604539359</v>
      </c>
      <c r="AY494" s="32">
        <f t="shared" si="447"/>
        <v>1.5366240227246557</v>
      </c>
      <c r="AZ494" s="32" t="str">
        <f t="shared" si="422"/>
        <v>1+555.789380141297i</v>
      </c>
      <c r="BA494" s="32">
        <f t="shared" si="448"/>
        <v>555.79027976193254</v>
      </c>
      <c r="BB494" s="32">
        <f t="shared" si="449"/>
        <v>1.5689970860093738</v>
      </c>
      <c r="BC494" s="60" t="str">
        <f t="shared" si="450"/>
        <v>-0.000763764266661945+0.0235843432272695i</v>
      </c>
      <c r="BD494" s="51">
        <f t="shared" si="451"/>
        <v>-32.542972000634968</v>
      </c>
      <c r="BE494" s="63">
        <f t="shared" si="452"/>
        <v>91.854839896124275</v>
      </c>
      <c r="BF494" s="60" t="str">
        <f t="shared" si="453"/>
        <v>-0.000445126351185626-0.00529220777745335i</v>
      </c>
      <c r="BG494" s="66">
        <f t="shared" si="454"/>
        <v>-45.496646476932206</v>
      </c>
      <c r="BH494" s="63">
        <f t="shared" si="455"/>
        <v>-94.807818285092651</v>
      </c>
      <c r="BI494" s="60" t="e">
        <f t="shared" si="409"/>
        <v>#NUM!</v>
      </c>
      <c r="BJ494" s="66" t="e">
        <f t="shared" si="456"/>
        <v>#NUM!</v>
      </c>
      <c r="BK494" s="63" t="e">
        <f t="shared" si="410"/>
        <v>#NUM!</v>
      </c>
      <c r="BL494" s="51">
        <f t="shared" si="457"/>
        <v>-45.496646476932206</v>
      </c>
      <c r="BM494" s="63">
        <f t="shared" si="458"/>
        <v>-94.807818285092651</v>
      </c>
    </row>
    <row r="495" spans="14:65" x14ac:dyDescent="0.3">
      <c r="N495" s="11">
        <v>77</v>
      </c>
      <c r="O495" s="52">
        <f t="shared" si="459"/>
        <v>588843.65535558888</v>
      </c>
      <c r="P495" s="50" t="str">
        <f t="shared" si="411"/>
        <v>23.3035714285714</v>
      </c>
      <c r="Q495" s="18" t="str">
        <f t="shared" si="412"/>
        <v>1+1403.28652120594i</v>
      </c>
      <c r="R495" s="18">
        <f t="shared" si="423"/>
        <v>1403.2868775123172</v>
      </c>
      <c r="S495" s="18">
        <f t="shared" si="424"/>
        <v>1.5700837140706838</v>
      </c>
      <c r="T495" s="18" t="str">
        <f t="shared" si="413"/>
        <v>1+6.54867043229441i</v>
      </c>
      <c r="U495" s="18">
        <f t="shared" si="425"/>
        <v>6.6245818306370898</v>
      </c>
      <c r="V495" s="18">
        <f t="shared" si="426"/>
        <v>1.419264154262402</v>
      </c>
      <c r="W495" s="32" t="str">
        <f t="shared" si="414"/>
        <v>1-9.04398929758173i</v>
      </c>
      <c r="X495" s="18">
        <f t="shared" si="427"/>
        <v>9.0991066822393538</v>
      </c>
      <c r="Y495" s="18">
        <f t="shared" si="428"/>
        <v>-1.4606729828095342</v>
      </c>
      <c r="Z495" s="32" t="str">
        <f t="shared" si="415"/>
        <v>-0.38694740181013+4.43875911547141i</v>
      </c>
      <c r="AA495" s="18">
        <f t="shared" si="429"/>
        <v>4.4555932014657875</v>
      </c>
      <c r="AB495" s="18">
        <f t="shared" si="430"/>
        <v>1.6577511816191919</v>
      </c>
      <c r="AC495" s="68" t="str">
        <f t="shared" si="431"/>
        <v>-0.222833095143575+0.0286003980707995i</v>
      </c>
      <c r="AD495" s="66">
        <f t="shared" si="432"/>
        <v>-12.9694457184256</v>
      </c>
      <c r="AE495" s="63">
        <f t="shared" si="433"/>
        <v>172.68613240158828</v>
      </c>
      <c r="AF495" s="51" t="e">
        <f t="shared" si="434"/>
        <v>#NUM!</v>
      </c>
      <c r="AG495" s="51" t="str">
        <f t="shared" si="416"/>
        <v>1-1964.60112968833i</v>
      </c>
      <c r="AH495" s="51">
        <f t="shared" si="435"/>
        <v>1964.6013841929012</v>
      </c>
      <c r="AI495" s="51">
        <f t="shared" si="436"/>
        <v>-1.5702873176639718</v>
      </c>
      <c r="AJ495" s="51" t="str">
        <f t="shared" si="417"/>
        <v>1+6.54867043229441i</v>
      </c>
      <c r="AK495" s="51">
        <f t="shared" si="437"/>
        <v>6.6245818306370898</v>
      </c>
      <c r="AL495" s="51">
        <f t="shared" si="438"/>
        <v>1.419264154262402</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-0.000170731707317073</v>
      </c>
      <c r="AT495" s="32" t="str">
        <f t="shared" si="420"/>
        <v>0.140592924535134i</v>
      </c>
      <c r="AU495" s="32">
        <f t="shared" si="444"/>
        <v>0.140592924535134</v>
      </c>
      <c r="AV495" s="32">
        <f t="shared" si="445"/>
        <v>1.5707963267948966</v>
      </c>
      <c r="AW495" s="32" t="str">
        <f t="shared" si="421"/>
        <v>1+29.9334409411922i</v>
      </c>
      <c r="AX495" s="32">
        <f t="shared" si="446"/>
        <v>29.9501400093529</v>
      </c>
      <c r="AY495" s="32">
        <f t="shared" si="447"/>
        <v>1.5374012944097764</v>
      </c>
      <c r="AZ495" s="32" t="str">
        <f t="shared" si="422"/>
        <v>1+568.735377882653i</v>
      </c>
      <c r="BA495" s="32">
        <f t="shared" si="448"/>
        <v>568.73625702545473</v>
      </c>
      <c r="BB495" s="32">
        <f t="shared" si="449"/>
        <v>1.5690380416444274</v>
      </c>
      <c r="BC495" s="60" t="str">
        <f t="shared" si="450"/>
        <v>-0.000729427533911014+0.0230486451362459i</v>
      </c>
      <c r="BD495" s="51">
        <f t="shared" si="451"/>
        <v>-32.742744463034668</v>
      </c>
      <c r="BE495" s="63">
        <f t="shared" si="452"/>
        <v>91.812652094067687</v>
      </c>
      <c r="BF495" s="60" t="str">
        <f t="shared" si="453"/>
        <v>-0.000496659830824893-0.00515686285240924i</v>
      </c>
      <c r="BG495" s="66">
        <f t="shared" si="454"/>
        <v>-45.712190181460258</v>
      </c>
      <c r="BH495" s="63">
        <f t="shared" si="455"/>
        <v>-95.501215504344032</v>
      </c>
      <c r="BI495" s="60" t="e">
        <f t="shared" si="409"/>
        <v>#NUM!</v>
      </c>
      <c r="BJ495" s="66" t="e">
        <f t="shared" si="456"/>
        <v>#NUM!</v>
      </c>
      <c r="BK495" s="63" t="e">
        <f t="shared" si="410"/>
        <v>#NUM!</v>
      </c>
      <c r="BL495" s="51">
        <f t="shared" si="457"/>
        <v>-45.712190181460258</v>
      </c>
      <c r="BM495" s="63">
        <f t="shared" si="458"/>
        <v>-95.501215504344032</v>
      </c>
    </row>
    <row r="496" spans="14:65" x14ac:dyDescent="0.3">
      <c r="N496" s="11">
        <v>78</v>
      </c>
      <c r="O496" s="52">
        <f t="shared" si="459"/>
        <v>602559.58607435878</v>
      </c>
      <c r="P496" s="50" t="str">
        <f t="shared" si="411"/>
        <v>23.3035714285714</v>
      </c>
      <c r="Q496" s="18" t="str">
        <f t="shared" si="412"/>
        <v>1+1435.97326331208i</v>
      </c>
      <c r="R496" s="18">
        <f t="shared" si="423"/>
        <v>1435.9736115079359</v>
      </c>
      <c r="S496" s="18">
        <f t="shared" si="424"/>
        <v>1.5700999351113636</v>
      </c>
      <c r="T496" s="18" t="str">
        <f t="shared" si="413"/>
        <v>1+6.70120856212304i</v>
      </c>
      <c r="U496" s="18">
        <f t="shared" si="425"/>
        <v>6.775411145684898</v>
      </c>
      <c r="V496" s="18">
        <f t="shared" si="426"/>
        <v>1.4226626374840197</v>
      </c>
      <c r="W496" s="32" t="str">
        <f t="shared" si="414"/>
        <v>1-9.25465087047752i</v>
      </c>
      <c r="X496" s="18">
        <f t="shared" si="427"/>
        <v>9.3085209745925965</v>
      </c>
      <c r="Y496" s="18">
        <f t="shared" si="428"/>
        <v>-1.4631601577404776</v>
      </c>
      <c r="Z496" s="32" t="str">
        <f t="shared" si="415"/>
        <v>-0.45231221908041+4.54215109728421i</v>
      </c>
      <c r="AA496" s="18">
        <f t="shared" si="429"/>
        <v>4.5646164060181</v>
      </c>
      <c r="AB496" s="18">
        <f t="shared" si="430"/>
        <v>1.6700501696176102</v>
      </c>
      <c r="AC496" s="68" t="str">
        <f t="shared" si="431"/>
        <v>-0.222062718361989+0.0310795043757113i</v>
      </c>
      <c r="AD496" s="66">
        <f t="shared" si="432"/>
        <v>-12.986238507416468</v>
      </c>
      <c r="AE496" s="63">
        <f t="shared" si="433"/>
        <v>172.03273701871751</v>
      </c>
      <c r="AF496" s="51" t="e">
        <f t="shared" si="434"/>
        <v>#NUM!</v>
      </c>
      <c r="AG496" s="51" t="str">
        <f t="shared" si="416"/>
        <v>1-2010.36256863692i</v>
      </c>
      <c r="AH496" s="51">
        <f t="shared" si="435"/>
        <v>2010.3628173482607</v>
      </c>
      <c r="AI496" s="51">
        <f t="shared" si="436"/>
        <v>-1.5702989041244171</v>
      </c>
      <c r="AJ496" s="51" t="str">
        <f t="shared" si="417"/>
        <v>1+6.70120856212304i</v>
      </c>
      <c r="AK496" s="51">
        <f t="shared" si="437"/>
        <v>6.775411145684898</v>
      </c>
      <c r="AL496" s="51">
        <f t="shared" si="438"/>
        <v>1.4226626374840197</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-0.000170731707317073</v>
      </c>
      <c r="AT496" s="32" t="str">
        <f t="shared" si="420"/>
        <v>0.14386775444106i</v>
      </c>
      <c r="AU496" s="32">
        <f t="shared" si="444"/>
        <v>0.14386775444106001</v>
      </c>
      <c r="AV496" s="32">
        <f t="shared" si="445"/>
        <v>1.5707963267948966</v>
      </c>
      <c r="AW496" s="32" t="str">
        <f t="shared" si="421"/>
        <v>1+30.6306803499718i</v>
      </c>
      <c r="AX496" s="32">
        <f t="shared" si="446"/>
        <v>30.646999505696286</v>
      </c>
      <c r="AY496" s="32">
        <f t="shared" si="447"/>
        <v>1.5381609122386448</v>
      </c>
      <c r="AZ496" s="32" t="str">
        <f t="shared" si="422"/>
        <v>1+581.982926649465i</v>
      </c>
      <c r="BA496" s="32">
        <f t="shared" si="448"/>
        <v>581.98378578056315</v>
      </c>
      <c r="BB496" s="32">
        <f t="shared" si="449"/>
        <v>1.5690780650211094</v>
      </c>
      <c r="BC496" s="60" t="str">
        <f t="shared" si="450"/>
        <v>-0.000696632840394386+0.022525064568292i</v>
      </c>
      <c r="BD496" s="51">
        <f t="shared" si="451"/>
        <v>-32.942527155122406</v>
      </c>
      <c r="BE496" s="63">
        <f t="shared" si="452"/>
        <v>91.771422368996355</v>
      </c>
      <c r="BF496" s="60" t="str">
        <f t="shared" si="453"/>
        <v>-0.0005453716605752-0.00502362807272555i</v>
      </c>
      <c r="BG496" s="66">
        <f t="shared" si="454"/>
        <v>-45.928765662538858</v>
      </c>
      <c r="BH496" s="63">
        <f t="shared" si="455"/>
        <v>-96.195840612286133</v>
      </c>
      <c r="BI496" s="60" t="e">
        <f t="shared" si="409"/>
        <v>#NUM!</v>
      </c>
      <c r="BJ496" s="66" t="e">
        <f t="shared" si="456"/>
        <v>#NUM!</v>
      </c>
      <c r="BK496" s="63" t="e">
        <f t="shared" si="410"/>
        <v>#NUM!</v>
      </c>
      <c r="BL496" s="51">
        <f t="shared" si="457"/>
        <v>-45.928765662538858</v>
      </c>
      <c r="BM496" s="63">
        <f t="shared" si="458"/>
        <v>-96.195840612286133</v>
      </c>
    </row>
    <row r="497" spans="14:65" x14ac:dyDescent="0.3">
      <c r="N497" s="11">
        <v>79</v>
      </c>
      <c r="O497" s="52">
        <f t="shared" si="459"/>
        <v>616595.00186148309</v>
      </c>
      <c r="P497" s="50" t="str">
        <f t="shared" si="411"/>
        <v>23.3035714285714</v>
      </c>
      <c r="Q497" s="18" t="str">
        <f t="shared" si="412"/>
        <v>1+1469.42137744978i</v>
      </c>
      <c r="R497" s="18">
        <f t="shared" si="423"/>
        <v>1469.4217177197324</v>
      </c>
      <c r="S497" s="18">
        <f t="shared" si="424"/>
        <v>1.5701157869164328</v>
      </c>
      <c r="T497" s="18" t="str">
        <f t="shared" si="413"/>
        <v>1+6.8572997614323i</v>
      </c>
      <c r="U497" s="18">
        <f t="shared" si="425"/>
        <v>6.9298311680833526</v>
      </c>
      <c r="V497" s="18">
        <f t="shared" si="426"/>
        <v>1.4259870959328922</v>
      </c>
      <c r="W497" s="32" t="str">
        <f t="shared" si="414"/>
        <v>1-9.47021938176463i</v>
      </c>
      <c r="X497" s="18">
        <f t="shared" si="427"/>
        <v>9.5228701103580349</v>
      </c>
      <c r="Y497" s="18">
        <f t="shared" si="428"/>
        <v>-1.4655920101184823</v>
      </c>
      <c r="Z497" s="32" t="str">
        <f t="shared" si="415"/>
        <v>-0.52075758528225+4.64795138773128i</v>
      </c>
      <c r="AA497" s="18">
        <f t="shared" si="429"/>
        <v>4.6770333081283626</v>
      </c>
      <c r="AB497" s="18">
        <f t="shared" si="430"/>
        <v>1.682371251386912</v>
      </c>
      <c r="AC497" s="68" t="str">
        <f t="shared" si="431"/>
        <v>-0.221237635812771+0.0335497937713927i</v>
      </c>
      <c r="AD497" s="66">
        <f t="shared" si="432"/>
        <v>-13.004078355454068</v>
      </c>
      <c r="AE497" s="63">
        <f t="shared" si="433"/>
        <v>171.37702535340131</v>
      </c>
      <c r="AF497" s="51" t="e">
        <f t="shared" si="434"/>
        <v>#NUM!</v>
      </c>
      <c r="AG497" s="51" t="str">
        <f t="shared" si="416"/>
        <v>1-2057.18992842969i</v>
      </c>
      <c r="AH497" s="51">
        <f t="shared" si="435"/>
        <v>2057.19017147967</v>
      </c>
      <c r="AI497" s="51">
        <f t="shared" si="436"/>
        <v>-1.5703102268449523</v>
      </c>
      <c r="AJ497" s="51" t="str">
        <f t="shared" si="417"/>
        <v>1+6.8572997614323i</v>
      </c>
      <c r="AK497" s="51">
        <f t="shared" si="437"/>
        <v>6.9298311680833526</v>
      </c>
      <c r="AL497" s="51">
        <f t="shared" si="438"/>
        <v>1.4259870959328922</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-0.000170731707317073</v>
      </c>
      <c r="AT497" s="32" t="str">
        <f t="shared" si="420"/>
        <v>0.147218864934705i</v>
      </c>
      <c r="AU497" s="32">
        <f t="shared" si="444"/>
        <v>0.14721886493470501</v>
      </c>
      <c r="AV497" s="32">
        <f t="shared" si="445"/>
        <v>1.5707963267948966</v>
      </c>
      <c r="AW497" s="32" t="str">
        <f t="shared" si="421"/>
        <v>1+31.344160550918i</v>
      </c>
      <c r="AX497" s="32">
        <f t="shared" si="446"/>
        <v>31.360108428411472</v>
      </c>
      <c r="AY497" s="32">
        <f t="shared" si="447"/>
        <v>1.5389032754621716</v>
      </c>
      <c r="AZ497" s="32" t="str">
        <f t="shared" si="422"/>
        <v>1+595.539050467443i</v>
      </c>
      <c r="BA497" s="32">
        <f t="shared" si="448"/>
        <v>595.5398900423578</v>
      </c>
      <c r="BB497" s="32">
        <f t="shared" si="449"/>
        <v>1.5691171773598305</v>
      </c>
      <c r="BC497" s="60" t="str">
        <f t="shared" si="450"/>
        <v>-0.000665311078825981+0.0220133307859536i</v>
      </c>
      <c r="BD497" s="51">
        <f t="shared" si="451"/>
        <v>-33.142319617469987</v>
      </c>
      <c r="BE497" s="63">
        <f t="shared" si="452"/>
        <v>91.731129061358146</v>
      </c>
      <c r="BF497" s="60" t="str">
        <f t="shared" si="453"/>
        <v>-0.000591350857930689-0.0048924983089373i</v>
      </c>
      <c r="BG497" s="66">
        <f t="shared" si="454"/>
        <v>-46.146397972924049</v>
      </c>
      <c r="BH497" s="63">
        <f t="shared" si="455"/>
        <v>-96.891845585240532</v>
      </c>
      <c r="BI497" s="60" t="e">
        <f t="shared" si="409"/>
        <v>#NUM!</v>
      </c>
      <c r="BJ497" s="66" t="e">
        <f t="shared" si="456"/>
        <v>#NUM!</v>
      </c>
      <c r="BK497" s="63" t="e">
        <f t="shared" si="410"/>
        <v>#NUM!</v>
      </c>
      <c r="BL497" s="51">
        <f t="shared" si="457"/>
        <v>-46.146397972924049</v>
      </c>
      <c r="BM497" s="63">
        <f t="shared" si="458"/>
        <v>-96.891845585240532</v>
      </c>
    </row>
    <row r="498" spans="14:65" x14ac:dyDescent="0.3">
      <c r="N498" s="11">
        <v>80</v>
      </c>
      <c r="O498" s="52">
        <f t="shared" si="459"/>
        <v>630957.34448019415</v>
      </c>
      <c r="P498" s="50" t="str">
        <f t="shared" si="411"/>
        <v>23.3035714285714</v>
      </c>
      <c r="Q498" s="18" t="str">
        <f t="shared" si="412"/>
        <v>1+1503.64859825189i</v>
      </c>
      <c r="R498" s="18">
        <f t="shared" si="423"/>
        <v>1503.6489307763543</v>
      </c>
      <c r="S498" s="18">
        <f t="shared" si="424"/>
        <v>1.5701312778906962</v>
      </c>
      <c r="T498" s="18" t="str">
        <f t="shared" si="413"/>
        <v>1+7.01702679184215i</v>
      </c>
      <c r="U498" s="18">
        <f t="shared" si="425"/>
        <v>7.0879238848502402</v>
      </c>
      <c r="V498" s="18">
        <f t="shared" si="426"/>
        <v>1.429238998192327</v>
      </c>
      <c r="W498" s="32" t="str">
        <f t="shared" si="414"/>
        <v>1-9.69080912872111i</v>
      </c>
      <c r="X498" s="18">
        <f t="shared" si="427"/>
        <v>9.7422677836992548</v>
      </c>
      <c r="Y498" s="18">
        <f t="shared" si="428"/>
        <v>-1.4679697142272035</v>
      </c>
      <c r="Z498" s="32" t="str">
        <f t="shared" si="415"/>
        <v>-0.59242868221399+4.75621608352702i</v>
      </c>
      <c r="AA498" s="18">
        <f t="shared" si="429"/>
        <v>4.7929701831652274</v>
      </c>
      <c r="AB498" s="18">
        <f t="shared" si="430"/>
        <v>1.6947169091372121</v>
      </c>
      <c r="AC498" s="68" t="str">
        <f t="shared" si="431"/>
        <v>-0.220357317449191+0.0360103730156676i</v>
      </c>
      <c r="AD498" s="66">
        <f t="shared" si="432"/>
        <v>-13.022991690122311</v>
      </c>
      <c r="AE498" s="63">
        <f t="shared" si="433"/>
        <v>170.71887156604433</v>
      </c>
      <c r="AF498" s="51" t="e">
        <f t="shared" si="434"/>
        <v>#NUM!</v>
      </c>
      <c r="AG498" s="51" t="str">
        <f t="shared" si="416"/>
        <v>1-2105.10803755265i</v>
      </c>
      <c r="AH498" s="51">
        <f t="shared" si="435"/>
        <v>2105.1082750701376</v>
      </c>
      <c r="AI498" s="51">
        <f t="shared" si="436"/>
        <v>-1.5703212918290224</v>
      </c>
      <c r="AJ498" s="51" t="str">
        <f t="shared" si="417"/>
        <v>1+7.01702679184215i</v>
      </c>
      <c r="AK498" s="51">
        <f t="shared" si="437"/>
        <v>7.0879238848502402</v>
      </c>
      <c r="AL498" s="51">
        <f t="shared" si="438"/>
        <v>1.429238998192327</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-0.000170731707317073</v>
      </c>
      <c r="AT498" s="32" t="str">
        <f t="shared" si="420"/>
        <v>0.15064803281921i</v>
      </c>
      <c r="AU498" s="32">
        <f t="shared" si="444"/>
        <v>0.15064803281920999</v>
      </c>
      <c r="AV498" s="32">
        <f t="shared" si="445"/>
        <v>1.5707963267948966</v>
      </c>
      <c r="AW498" s="32" t="str">
        <f t="shared" si="421"/>
        <v>1+32.0742598406772i</v>
      </c>
      <c r="AX498" s="32">
        <f t="shared" si="446"/>
        <v>32.089844878516914</v>
      </c>
      <c r="AY498" s="32">
        <f t="shared" si="447"/>
        <v>1.539628774416343</v>
      </c>
      <c r="AZ498" s="32" t="str">
        <f t="shared" si="422"/>
        <v>1+609.410936972868i</v>
      </c>
      <c r="BA498" s="32">
        <f t="shared" si="448"/>
        <v>609.41175743675046</v>
      </c>
      <c r="BB498" s="32">
        <f t="shared" si="449"/>
        <v>1.5691553993979916</v>
      </c>
      <c r="BC498" s="60" t="str">
        <f t="shared" si="450"/>
        <v>-0.00063539622628254+0.0215131788760046i</v>
      </c>
      <c r="BD498" s="51">
        <f t="shared" si="451"/>
        <v>-33.342121411240477</v>
      </c>
      <c r="BE498" s="63">
        <f t="shared" si="452"/>
        <v>91.691750994713999</v>
      </c>
      <c r="BF498" s="60" t="str">
        <f t="shared" si="453"/>
        <v>-0.000634683388136747-0.00476346724204216i</v>
      </c>
      <c r="BG498" s="66">
        <f t="shared" si="454"/>
        <v>-46.365113101362788</v>
      </c>
      <c r="BH498" s="63">
        <f t="shared" si="455"/>
        <v>-97.589377439241659</v>
      </c>
      <c r="BI498" s="60" t="e">
        <f t="shared" ref="BI498:BI560" si="460">IMPRODUCT(AP498,BC498)</f>
        <v>#NUM!</v>
      </c>
      <c r="BJ498" s="66" t="e">
        <f t="shared" si="456"/>
        <v>#NUM!</v>
      </c>
      <c r="BK498" s="63" t="e">
        <f t="shared" ref="BK498:BK560" si="461">(180/PI())*IMARGUMENT(BI498)</f>
        <v>#NUM!</v>
      </c>
      <c r="BL498" s="51">
        <f t="shared" si="457"/>
        <v>-46.365113101362788</v>
      </c>
      <c r="BM498" s="63">
        <f t="shared" si="458"/>
        <v>-97.589377439241659</v>
      </c>
    </row>
    <row r="499" spans="14:65" x14ac:dyDescent="0.3">
      <c r="N499" s="11">
        <v>81</v>
      </c>
      <c r="O499" s="52">
        <f t="shared" si="459"/>
        <v>645654.22903465747</v>
      </c>
      <c r="P499" s="50" t="str">
        <f t="shared" si="411"/>
        <v>23.3035714285714</v>
      </c>
      <c r="Q499" s="18" t="str">
        <f t="shared" si="412"/>
        <v>1+1538.67307344394i</v>
      </c>
      <c r="R499" s="18">
        <f t="shared" si="423"/>
        <v>1538.6733983992251</v>
      </c>
      <c r="S499" s="18">
        <f t="shared" si="424"/>
        <v>1.5701464162476435</v>
      </c>
      <c r="T499" s="18" t="str">
        <f t="shared" si="413"/>
        <v>1+7.18047434273839i</v>
      </c>
      <c r="U499" s="18">
        <f t="shared" si="425"/>
        <v>7.2497732231239</v>
      </c>
      <c r="V499" s="18">
        <f t="shared" si="426"/>
        <v>1.4324197932129512</v>
      </c>
      <c r="W499" s="32" t="str">
        <f t="shared" si="414"/>
        <v>1-9.9165370709507i</v>
      </c>
      <c r="X499" s="18">
        <f t="shared" si="427"/>
        <v>9.9668303627351609</v>
      </c>
      <c r="Y499" s="18">
        <f t="shared" si="428"/>
        <v>-1.4702944231597335</v>
      </c>
      <c r="Z499" s="32" t="str">
        <f t="shared" si="415"/>
        <v>-0.66747753388135+4.86700258804622i</v>
      </c>
      <c r="AA499" s="18">
        <f t="shared" si="429"/>
        <v>4.9125594602289482</v>
      </c>
      <c r="AB499" s="18">
        <f t="shared" si="430"/>
        <v>1.7070895399754535</v>
      </c>
      <c r="AC499" s="68" t="str">
        <f t="shared" si="431"/>
        <v>-0.219421238386602+0.0384602901910913i</v>
      </c>
      <c r="AD499" s="66">
        <f t="shared" si="432"/>
        <v>-13.043005848767972</v>
      </c>
      <c r="AE499" s="63">
        <f t="shared" si="433"/>
        <v>170.05815479332551</v>
      </c>
      <c r="AF499" s="51" t="e">
        <f t="shared" si="434"/>
        <v>#NUM!</v>
      </c>
      <c r="AG499" s="51" t="str">
        <f t="shared" si="416"/>
        <v>1-2154.14230282152i</v>
      </c>
      <c r="AH499" s="51">
        <f t="shared" si="435"/>
        <v>2154.1425349324495</v>
      </c>
      <c r="AI499" s="51">
        <f t="shared" si="436"/>
        <v>-1.5703321049434171</v>
      </c>
      <c r="AJ499" s="51" t="str">
        <f t="shared" si="417"/>
        <v>1+7.18047434273839i</v>
      </c>
      <c r="AK499" s="51">
        <f t="shared" si="437"/>
        <v>7.2497732231239</v>
      </c>
      <c r="AL499" s="51">
        <f t="shared" si="438"/>
        <v>1.4324197932129512</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-0.000170731707317073</v>
      </c>
      <c r="AT499" s="32" t="str">
        <f t="shared" si="420"/>
        <v>0.154157076284779i</v>
      </c>
      <c r="AU499" s="32">
        <f t="shared" si="444"/>
        <v>0.15415707628477901</v>
      </c>
      <c r="AV499" s="32">
        <f t="shared" si="445"/>
        <v>1.5707963267948966</v>
      </c>
      <c r="AW499" s="32" t="str">
        <f t="shared" si="421"/>
        <v>1+32.821365327557i</v>
      </c>
      <c r="AX499" s="32">
        <f t="shared" si="446"/>
        <v>32.836595773084646</v>
      </c>
      <c r="AY499" s="32">
        <f t="shared" si="447"/>
        <v>1.5403377907136371</v>
      </c>
      <c r="AZ499" s="32" t="str">
        <f t="shared" si="422"/>
        <v>1+623.605941223585i</v>
      </c>
      <c r="BA499" s="32">
        <f t="shared" si="448"/>
        <v>623.60674301145377</v>
      </c>
      <c r="BB499" s="32">
        <f t="shared" si="449"/>
        <v>1.5691927514009765</v>
      </c>
      <c r="BC499" s="60" t="str">
        <f t="shared" si="450"/>
        <v>-0.000606825207662448+0.0210243496393246i</v>
      </c>
      <c r="BD499" s="51">
        <f t="shared" si="451"/>
        <v>-33.541932117269091</v>
      </c>
      <c r="BE499" s="63">
        <f t="shared" si="452"/>
        <v>91.653267465400461</v>
      </c>
      <c r="BF499" s="60" t="str">
        <f t="shared" si="453"/>
        <v>-0.000675452249657889-0.00463652750771548i</v>
      </c>
      <c r="BG499" s="66">
        <f t="shared" si="454"/>
        <v>-46.584937966037067</v>
      </c>
      <c r="BH499" s="63">
        <f t="shared" si="455"/>
        <v>-98.28857774127404</v>
      </c>
      <c r="BI499" s="60" t="e">
        <f t="shared" si="460"/>
        <v>#NUM!</v>
      </c>
      <c r="BJ499" s="66" t="e">
        <f t="shared" si="456"/>
        <v>#NUM!</v>
      </c>
      <c r="BK499" s="63" t="e">
        <f t="shared" si="461"/>
        <v>#NUM!</v>
      </c>
      <c r="BL499" s="51">
        <f t="shared" si="457"/>
        <v>-46.584937966037067</v>
      </c>
      <c r="BM499" s="63">
        <f t="shared" si="458"/>
        <v>-98.28857774127404</v>
      </c>
    </row>
    <row r="500" spans="14:65" x14ac:dyDescent="0.3">
      <c r="N500" s="11">
        <v>82</v>
      </c>
      <c r="O500" s="52">
        <f t="shared" si="459"/>
        <v>660693.44800759677</v>
      </c>
      <c r="P500" s="50" t="str">
        <f t="shared" si="411"/>
        <v>23.3035714285714</v>
      </c>
      <c r="Q500" s="18" t="str">
        <f t="shared" si="412"/>
        <v>1+1574.51337346627i</v>
      </c>
      <c r="R500" s="18">
        <f t="shared" si="423"/>
        <v>1574.5136910246711</v>
      </c>
      <c r="S500" s="18">
        <f t="shared" si="424"/>
        <v>1.5701612100138047</v>
      </c>
      <c r="T500" s="18" t="str">
        <f t="shared" si="413"/>
        <v>1+7.34772907617594i</v>
      </c>
      <c r="U500" s="18">
        <f t="shared" si="425"/>
        <v>7.4154650951158381</v>
      </c>
      <c r="V500" s="18">
        <f t="shared" si="426"/>
        <v>1.4355309099070608</v>
      </c>
      <c r="W500" s="32" t="str">
        <f t="shared" si="414"/>
        <v>1-10.1475228923961i</v>
      </c>
      <c r="X500" s="18">
        <f t="shared" si="427"/>
        <v>10.196676951424074</v>
      </c>
      <c r="Y500" s="18">
        <f t="shared" si="428"/>
        <v>-1.4725672689456273</v>
      </c>
      <c r="Z500" s="32" t="str">
        <f t="shared" si="415"/>
        <v>-0.74606332896067+4.98036964175998i</v>
      </c>
      <c r="AA500" s="18">
        <f t="shared" si="429"/>
        <v>5.0359400571675108</v>
      </c>
      <c r="AB500" s="18">
        <f t="shared" si="430"/>
        <v>1.7194914466537377</v>
      </c>
      <c r="AC500" s="68" t="str">
        <f t="shared" si="431"/>
        <v>-0.218428883001043+0.0408985322067158i</v>
      </c>
      <c r="AD500" s="66">
        <f t="shared" si="432"/>
        <v>-13.064149068563795</v>
      </c>
      <c r="AE500" s="63">
        <f t="shared" si="433"/>
        <v>169.39475964750994</v>
      </c>
      <c r="AF500" s="51" t="e">
        <f t="shared" si="434"/>
        <v>#NUM!</v>
      </c>
      <c r="AG500" s="51" t="str">
        <f t="shared" si="416"/>
        <v>1-2204.31872285279i</v>
      </c>
      <c r="AH500" s="51">
        <f t="shared" si="435"/>
        <v>2204.3189496802306</v>
      </c>
      <c r="AI500" s="51">
        <f t="shared" si="436"/>
        <v>-1.5703426719213831</v>
      </c>
      <c r="AJ500" s="51" t="str">
        <f t="shared" si="417"/>
        <v>1+7.34772907617594i</v>
      </c>
      <c r="AK500" s="51">
        <f t="shared" si="437"/>
        <v>7.4154650951158381</v>
      </c>
      <c r="AL500" s="51">
        <f t="shared" si="438"/>
        <v>1.4355309099070608</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-0.000170731707317073</v>
      </c>
      <c r="AT500" s="32" t="str">
        <f t="shared" si="420"/>
        <v>0.157747855872704i</v>
      </c>
      <c r="AU500" s="32">
        <f t="shared" si="444"/>
        <v>0.15774785587270401</v>
      </c>
      <c r="AV500" s="32">
        <f t="shared" si="445"/>
        <v>1.5707963267948966</v>
      </c>
      <c r="AW500" s="32" t="str">
        <f t="shared" si="421"/>
        <v>1+33.5858731367756i</v>
      </c>
      <c r="AX500" s="32">
        <f t="shared" si="446"/>
        <v>33.600757050393746</v>
      </c>
      <c r="AY500" s="32">
        <f t="shared" si="447"/>
        <v>1.5410306974308452</v>
      </c>
      <c r="AZ500" s="32" t="str">
        <f t="shared" si="422"/>
        <v>1+638.131589598737i</v>
      </c>
      <c r="BA500" s="32">
        <f t="shared" si="448"/>
        <v>638.13237313570835</v>
      </c>
      <c r="BB500" s="32">
        <f t="shared" si="449"/>
        <v>1.5692292531728942</v>
      </c>
      <c r="BC500" s="60" t="str">
        <f t="shared" si="450"/>
        <v>-0.000579537765090532+0.0205465894817996i</v>
      </c>
      <c r="BD500" s="51">
        <f t="shared" si="451"/>
        <v>-33.741751335184802</v>
      </c>
      <c r="BE500" s="63">
        <f t="shared" si="452"/>
        <v>91.615658232383794</v>
      </c>
      <c r="BF500" s="60" t="str">
        <f t="shared" si="453"/>
        <v>-0.000713737564973903-0.00451167083394103i</v>
      </c>
      <c r="BG500" s="66">
        <f t="shared" si="454"/>
        <v>-46.805900403748595</v>
      </c>
      <c r="BH500" s="63">
        <f t="shared" si="455"/>
        <v>-98.989582120106249</v>
      </c>
      <c r="BI500" s="60" t="e">
        <f t="shared" si="460"/>
        <v>#NUM!</v>
      </c>
      <c r="BJ500" s="66" t="e">
        <f t="shared" si="456"/>
        <v>#NUM!</v>
      </c>
      <c r="BK500" s="63" t="e">
        <f t="shared" si="461"/>
        <v>#NUM!</v>
      </c>
      <c r="BL500" s="51">
        <f t="shared" si="457"/>
        <v>-46.805900403748595</v>
      </c>
      <c r="BM500" s="63">
        <f t="shared" si="458"/>
        <v>-98.989582120106249</v>
      </c>
    </row>
    <row r="501" spans="14:65" x14ac:dyDescent="0.3">
      <c r="N501" s="11">
        <v>83</v>
      </c>
      <c r="O501" s="52">
        <f t="shared" si="459"/>
        <v>676082.97539198259</v>
      </c>
      <c r="P501" s="50" t="str">
        <f t="shared" si="411"/>
        <v>23.3035714285714</v>
      </c>
      <c r="Q501" s="18" t="str">
        <f t="shared" si="412"/>
        <v>1+1611.18850132037i</v>
      </c>
      <c r="R501" s="18">
        <f t="shared" si="423"/>
        <v>1611.188811650261</v>
      </c>
      <c r="S501" s="18">
        <f t="shared" si="424"/>
        <v>1.5701756670330038</v>
      </c>
      <c r="T501" s="18" t="str">
        <f t="shared" si="413"/>
        <v>1+7.51887967282838i</v>
      </c>
      <c r="U501" s="18">
        <f t="shared" si="425"/>
        <v>7.5850874440886846</v>
      </c>
      <c r="V501" s="18">
        <f t="shared" si="426"/>
        <v>1.4385737568020189</v>
      </c>
      <c r="W501" s="32" t="str">
        <f t="shared" si="414"/>
        <v>1-10.3838890647975i</v>
      </c>
      <c r="X501" s="18">
        <f t="shared" si="427"/>
        <v>10.43192945288747</v>
      </c>
      <c r="Y501" s="18">
        <f t="shared" si="428"/>
        <v>-1.4747893626972302</v>
      </c>
      <c r="Z501" s="32" t="str">
        <f t="shared" si="415"/>
        <v>-0.82835275845951+5.0963773533808i</v>
      </c>
      <c r="AA501" s="18">
        <f t="shared" si="429"/>
        <v>5.1632577333017347</v>
      </c>
      <c r="AB501" s="18">
        <f t="shared" si="430"/>
        <v>1.7319248283685762</v>
      </c>
      <c r="AC501" s="68" t="str">
        <f t="shared" si="431"/>
        <v>-0.217379749349763+0.043324022557593i</v>
      </c>
      <c r="AD501" s="66">
        <f t="shared" si="432"/>
        <v>-13.08645047215731</v>
      </c>
      <c r="AE501" s="63">
        <f t="shared" si="433"/>
        <v>168.72857671512645</v>
      </c>
      <c r="AF501" s="51" t="e">
        <f t="shared" si="434"/>
        <v>#NUM!</v>
      </c>
      <c r="AG501" s="51" t="str">
        <f t="shared" si="416"/>
        <v>1-2255.66390184852i</v>
      </c>
      <c r="AH501" s="51">
        <f t="shared" si="435"/>
        <v>2255.6641235127381</v>
      </c>
      <c r="AI501" s="51">
        <f t="shared" si="436"/>
        <v>-1.5703529983656626</v>
      </c>
      <c r="AJ501" s="51" t="str">
        <f t="shared" si="417"/>
        <v>1+7.51887967282838i</v>
      </c>
      <c r="AK501" s="51">
        <f t="shared" si="437"/>
        <v>7.5850874440886846</v>
      </c>
      <c r="AL501" s="51">
        <f t="shared" si="438"/>
        <v>1.4385737568020189</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-0.000170731707317073</v>
      </c>
      <c r="AT501" s="32" t="str">
        <f t="shared" si="420"/>
        <v>0.161422275461852i</v>
      </c>
      <c r="AU501" s="32">
        <f t="shared" si="444"/>
        <v>0.16142227546185201</v>
      </c>
      <c r="AV501" s="32">
        <f t="shared" si="445"/>
        <v>1.5707963267948966</v>
      </c>
      <c r="AW501" s="32" t="str">
        <f t="shared" si="421"/>
        <v>1+34.3681886204929i</v>
      </c>
      <c r="AX501" s="32">
        <f t="shared" si="446"/>
        <v>34.382733879867345</v>
      </c>
      <c r="AY501" s="32">
        <f t="shared" si="447"/>
        <v>1.5417078592933326</v>
      </c>
      <c r="AZ501" s="32" t="str">
        <f t="shared" si="422"/>
        <v>1+652.995583789366i</v>
      </c>
      <c r="BA501" s="32">
        <f t="shared" si="448"/>
        <v>652.99634949087954</v>
      </c>
      <c r="BB501" s="32">
        <f t="shared" si="449"/>
        <v>1.5692649240670782</v>
      </c>
      <c r="BC501" s="60" t="str">
        <f t="shared" si="450"/>
        <v>-0.000553476333018551+0.0200796503063218i</v>
      </c>
      <c r="BD501" s="51">
        <f t="shared" si="451"/>
        <v>-33.94157868257021</v>
      </c>
      <c r="BE501" s="63">
        <f t="shared" si="452"/>
        <v>91.578903507304247</v>
      </c>
      <c r="BF501" s="60" t="str">
        <f t="shared" si="453"/>
        <v>-0.000749616676277066-0.00438888817175591i</v>
      </c>
      <c r="BG501" s="66">
        <f t="shared" si="454"/>
        <v>-47.028029154727527</v>
      </c>
      <c r="BH501" s="63">
        <f t="shared" si="455"/>
        <v>-99.692519777569288</v>
      </c>
      <c r="BI501" s="60" t="e">
        <f t="shared" si="460"/>
        <v>#NUM!</v>
      </c>
      <c r="BJ501" s="66" t="e">
        <f t="shared" si="456"/>
        <v>#NUM!</v>
      </c>
      <c r="BK501" s="63" t="e">
        <f t="shared" si="461"/>
        <v>#NUM!</v>
      </c>
      <c r="BL501" s="51">
        <f t="shared" si="457"/>
        <v>-47.028029154727527</v>
      </c>
      <c r="BM501" s="63">
        <f t="shared" si="458"/>
        <v>-99.692519777569288</v>
      </c>
    </row>
    <row r="502" spans="14:65" x14ac:dyDescent="0.3">
      <c r="N502" s="11">
        <v>84</v>
      </c>
      <c r="O502" s="52">
        <f t="shared" si="459"/>
        <v>691830.97091893724</v>
      </c>
      <c r="P502" s="50" t="str">
        <f t="shared" si="411"/>
        <v>23.3035714285714</v>
      </c>
      <c r="Q502" s="18" t="str">
        <f t="shared" si="412"/>
        <v>1+1648.71790264446i</v>
      </c>
      <c r="R502" s="18">
        <f t="shared" si="423"/>
        <v>1648.7182059103814</v>
      </c>
      <c r="S502" s="18">
        <f t="shared" si="424"/>
        <v>1.5701897949705201</v>
      </c>
      <c r="T502" s="18" t="str">
        <f t="shared" si="413"/>
        <v>1+7.69401687900749i</v>
      </c>
      <c r="U502" s="18">
        <f t="shared" si="425"/>
        <v>7.758730291384806</v>
      </c>
      <c r="V502" s="18">
        <f t="shared" si="426"/>
        <v>1.4415497217487432</v>
      </c>
      <c r="W502" s="32" t="str">
        <f t="shared" si="414"/>
        <v>1-10.625760912628i</v>
      </c>
      <c r="X502" s="18">
        <f t="shared" si="427"/>
        <v>10.672712634205654</v>
      </c>
      <c r="Y502" s="18">
        <f t="shared" si="428"/>
        <v>-1.4769617947735321</v>
      </c>
      <c r="Z502" s="32" t="str">
        <f t="shared" si="415"/>
        <v>-0.91452036929056+5.21508723173291i</v>
      </c>
      <c r="AA502" s="18">
        <f t="shared" si="429"/>
        <v>5.294665460671804</v>
      </c>
      <c r="AB502" s="18">
        <f t="shared" si="430"/>
        <v>1.7443917716259283</v>
      </c>
      <c r="AC502" s="68" t="str">
        <f t="shared" si="431"/>
        <v>-0.216273353903606+0.0457356193732042i</v>
      </c>
      <c r="AD502" s="66">
        <f t="shared" si="432"/>
        <v>-13.109940048789095</v>
      </c>
      <c r="AE502" s="63">
        <f t="shared" si="433"/>
        <v>168.0595030540334</v>
      </c>
      <c r="AF502" s="51" t="e">
        <f t="shared" si="434"/>
        <v>#NUM!</v>
      </c>
      <c r="AG502" s="51" t="str">
        <f t="shared" si="416"/>
        <v>1-2308.20506370225i</v>
      </c>
      <c r="AH502" s="51">
        <f t="shared" si="435"/>
        <v>2308.2052803207753</v>
      </c>
      <c r="AI502" s="51">
        <f t="shared" si="436"/>
        <v>-1.5703630897514638</v>
      </c>
      <c r="AJ502" s="51" t="str">
        <f t="shared" si="417"/>
        <v>1+7.69401687900749i</v>
      </c>
      <c r="AK502" s="51">
        <f t="shared" si="437"/>
        <v>7.758730291384806</v>
      </c>
      <c r="AL502" s="51">
        <f t="shared" si="438"/>
        <v>1.4415497217487432</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-0.000170731707317073</v>
      </c>
      <c r="AT502" s="32" t="str">
        <f t="shared" si="420"/>
        <v>0.165182283278127i</v>
      </c>
      <c r="AU502" s="32">
        <f t="shared" si="444"/>
        <v>0.16518228327812701</v>
      </c>
      <c r="AV502" s="32">
        <f t="shared" si="445"/>
        <v>1.5707963267948966</v>
      </c>
      <c r="AW502" s="32" t="str">
        <f t="shared" si="421"/>
        <v>1+35.1687265727335i</v>
      </c>
      <c r="AX502" s="32">
        <f t="shared" si="446"/>
        <v>35.182940876903558</v>
      </c>
      <c r="AY502" s="32">
        <f t="shared" si="447"/>
        <v>1.5423696328557699</v>
      </c>
      <c r="AZ502" s="32" t="str">
        <f t="shared" si="422"/>
        <v>1+668.205804881938i</v>
      </c>
      <c r="BA502" s="32">
        <f t="shared" si="448"/>
        <v>668.20655315397687</v>
      </c>
      <c r="BB502" s="32">
        <f t="shared" si="449"/>
        <v>1.5692997829963453</v>
      </c>
      <c r="BC502" s="60" t="str">
        <f t="shared" si="450"/>
        <v>-0.000528585918780925+0.0196232894059491i</v>
      </c>
      <c r="BD502" s="51">
        <f t="shared" si="451"/>
        <v>-34.141413794160172</v>
      </c>
      <c r="BE502" s="63">
        <f t="shared" si="452"/>
        <v>91.542983944708595</v>
      </c>
      <c r="BF502" s="60" t="str">
        <f t="shared" si="453"/>
        <v>-0.000783164245639749-0.00426816981883311i</v>
      </c>
      <c r="BG502" s="66">
        <f t="shared" si="454"/>
        <v>-47.251353842949271</v>
      </c>
      <c r="BH502" s="63">
        <f t="shared" si="455"/>
        <v>-100.39751300125802</v>
      </c>
      <c r="BI502" s="60" t="e">
        <f t="shared" si="460"/>
        <v>#NUM!</v>
      </c>
      <c r="BJ502" s="66" t="e">
        <f t="shared" si="456"/>
        <v>#NUM!</v>
      </c>
      <c r="BK502" s="63" t="e">
        <f t="shared" si="461"/>
        <v>#NUM!</v>
      </c>
      <c r="BL502" s="51">
        <f t="shared" si="457"/>
        <v>-47.251353842949271</v>
      </c>
      <c r="BM502" s="63">
        <f t="shared" si="458"/>
        <v>-100.39751300125802</v>
      </c>
    </row>
    <row r="503" spans="14:65" x14ac:dyDescent="0.3">
      <c r="N503" s="11">
        <v>85</v>
      </c>
      <c r="O503" s="52">
        <f t="shared" si="459"/>
        <v>707945.78438413853</v>
      </c>
      <c r="P503" s="50" t="str">
        <f t="shared" si="411"/>
        <v>23.3035714285714</v>
      </c>
      <c r="Q503" s="18" t="str">
        <f t="shared" si="412"/>
        <v>1+1687.1214760239i</v>
      </c>
      <c r="R503" s="18">
        <f t="shared" si="423"/>
        <v>1687.1217723866478</v>
      </c>
      <c r="S503" s="18">
        <f t="shared" si="424"/>
        <v>1.5702036013171503</v>
      </c>
      <c r="T503" s="18" t="str">
        <f t="shared" si="413"/>
        <v>1+7.87323355477821i</v>
      </c>
      <c r="U503" s="18">
        <f t="shared" si="425"/>
        <v>7.936485784532441</v>
      </c>
      <c r="V503" s="18">
        <f t="shared" si="426"/>
        <v>1.4444601716815408</v>
      </c>
      <c r="W503" s="32" t="str">
        <f t="shared" si="414"/>
        <v>1-10.873266679543i</v>
      </c>
      <c r="X503" s="18">
        <f t="shared" si="427"/>
        <v>10.919154192722992</v>
      </c>
      <c r="Y503" s="18">
        <f t="shared" si="428"/>
        <v>-1.479085634959922</v>
      </c>
      <c r="Z503" s="32" t="str">
        <f t="shared" si="415"/>
        <v>-1.0047489345091+5.33656221836513i</v>
      </c>
      <c r="AA503" s="18">
        <f t="shared" si="429"/>
        <v>5.4303238146430388</v>
      </c>
      <c r="AB503" s="18">
        <f t="shared" si="430"/>
        <v>1.7568942411895825</v>
      </c>
      <c r="AC503" s="68" t="str">
        <f t="shared" si="431"/>
        <v>-0.215109236578539+0.0481321137867446i</v>
      </c>
      <c r="AD503" s="66">
        <f t="shared" si="432"/>
        <v>-13.134648630762779</v>
      </c>
      <c r="AE503" s="63">
        <f t="shared" si="433"/>
        <v>167.3874426877459</v>
      </c>
      <c r="AF503" s="51" t="e">
        <f t="shared" si="434"/>
        <v>#NUM!</v>
      </c>
      <c r="AG503" s="51" t="str">
        <f t="shared" si="416"/>
        <v>1-2361.97006643347i</v>
      </c>
      <c r="AH503" s="51">
        <f t="shared" si="435"/>
        <v>2361.9702781211558</v>
      </c>
      <c r="AI503" s="51">
        <f t="shared" si="436"/>
        <v>-1.5703729514293649</v>
      </c>
      <c r="AJ503" s="51" t="str">
        <f t="shared" si="417"/>
        <v>1+7.87323355477821i</v>
      </c>
      <c r="AK503" s="51">
        <f t="shared" si="437"/>
        <v>7.936485784532441</v>
      </c>
      <c r="AL503" s="51">
        <f t="shared" si="438"/>
        <v>1.4444601716815408</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-0.000170731707317073</v>
      </c>
      <c r="AT503" s="32" t="str">
        <f t="shared" si="420"/>
        <v>0.169029872927442i</v>
      </c>
      <c r="AU503" s="32">
        <f t="shared" si="444"/>
        <v>0.16902987292744201</v>
      </c>
      <c r="AV503" s="32">
        <f t="shared" si="445"/>
        <v>1.5707963267948966</v>
      </c>
      <c r="AW503" s="32" t="str">
        <f t="shared" si="421"/>
        <v>1+35.9879114493162i</v>
      </c>
      <c r="AX503" s="32">
        <f t="shared" si="446"/>
        <v>36.001802322714674</v>
      </c>
      <c r="AY503" s="32">
        <f t="shared" si="447"/>
        <v>1.5430163666793733</v>
      </c>
      <c r="AZ503" s="32" t="str">
        <f t="shared" si="422"/>
        <v>1+683.770317537009i</v>
      </c>
      <c r="BA503" s="32">
        <f t="shared" si="448"/>
        <v>683.7710487763153</v>
      </c>
      <c r="BB503" s="32">
        <f t="shared" si="449"/>
        <v>1.5693338484430222</v>
      </c>
      <c r="BC503" s="60" t="str">
        <f t="shared" si="450"/>
        <v>-0.000504813988374807+0.0191772693582905i</v>
      </c>
      <c r="BD503" s="51">
        <f t="shared" si="451"/>
        <v>-34.341256321074411</v>
      </c>
      <c r="BE503" s="63">
        <f t="shared" si="452"/>
        <v>91.507880632469593</v>
      </c>
      <c r="BF503" s="60" t="str">
        <f t="shared" si="453"/>
        <v>-0.000814452359218817-0.00414950553565248i</v>
      </c>
      <c r="BG503" s="66">
        <f t="shared" si="454"/>
        <v>-47.47590495183718</v>
      </c>
      <c r="BH503" s="63">
        <f t="shared" si="455"/>
        <v>-101.10467667978449</v>
      </c>
      <c r="BI503" s="60" t="e">
        <f t="shared" si="460"/>
        <v>#NUM!</v>
      </c>
      <c r="BJ503" s="66" t="e">
        <f t="shared" si="456"/>
        <v>#NUM!</v>
      </c>
      <c r="BK503" s="63" t="e">
        <f t="shared" si="461"/>
        <v>#NUM!</v>
      </c>
      <c r="BL503" s="51">
        <f t="shared" si="457"/>
        <v>-47.47590495183718</v>
      </c>
      <c r="BM503" s="63">
        <f t="shared" si="458"/>
        <v>-101.10467667978449</v>
      </c>
    </row>
    <row r="504" spans="14:65" x14ac:dyDescent="0.3">
      <c r="N504" s="11">
        <v>86</v>
      </c>
      <c r="O504" s="52">
        <f t="shared" si="459"/>
        <v>724435.96007499192</v>
      </c>
      <c r="P504" s="50" t="str">
        <f t="shared" si="411"/>
        <v>23.3035714285714</v>
      </c>
      <c r="Q504" s="18" t="str">
        <f t="shared" si="412"/>
        <v>1+1726.41958354162i</v>
      </c>
      <c r="R504" s="18">
        <f t="shared" si="423"/>
        <v>1726.419873158329</v>
      </c>
      <c r="S504" s="18">
        <f t="shared" si="424"/>
        <v>1.5702170933931812</v>
      </c>
      <c r="T504" s="18" t="str">
        <f t="shared" si="413"/>
        <v>1+8.05662472319425i</v>
      </c>
      <c r="U504" s="18">
        <f t="shared" si="425"/>
        <v>8.118448246456019</v>
      </c>
      <c r="V504" s="18">
        <f t="shared" si="426"/>
        <v>1.4473064524257193</v>
      </c>
      <c r="W504" s="32" t="str">
        <f t="shared" si="414"/>
        <v>1-11.1265375963762i</v>
      </c>
      <c r="X504" s="18">
        <f t="shared" si="427"/>
        <v>11.171384823895966</v>
      </c>
      <c r="Y504" s="18">
        <f t="shared" si="428"/>
        <v>-1.48116193266228</v>
      </c>
      <c r="Z504" s="32" t="str">
        <f t="shared" si="415"/>
        <v>-1.09922984099911+5.46086672092328i</v>
      </c>
      <c r="AA504" s="18">
        <f t="shared" si="429"/>
        <v>5.5704013847325493</v>
      </c>
      <c r="AB504" s="18">
        <f t="shared" si="430"/>
        <v>1.7694340711330934</v>
      </c>
      <c r="AC504" s="68" t="str">
        <f t="shared" si="431"/>
        <v>-0.213886966050625+0.0505122286576948i</v>
      </c>
      <c r="AD504" s="66">
        <f t="shared" si="432"/>
        <v>-13.160607865152771</v>
      </c>
      <c r="AE504" s="63">
        <f t="shared" si="433"/>
        <v>166.71230709575048</v>
      </c>
      <c r="AF504" s="51" t="e">
        <f t="shared" si="434"/>
        <v>#NUM!</v>
      </c>
      <c r="AG504" s="51" t="str">
        <f t="shared" si="416"/>
        <v>1-2416.98741695828i</v>
      </c>
      <c r="AH504" s="51">
        <f t="shared" si="435"/>
        <v>2416.987623827366</v>
      </c>
      <c r="AI504" s="51">
        <f t="shared" si="436"/>
        <v>-1.5703825886281506</v>
      </c>
      <c r="AJ504" s="51" t="str">
        <f t="shared" si="417"/>
        <v>1+8.05662472319425i</v>
      </c>
      <c r="AK504" s="51">
        <f t="shared" si="437"/>
        <v>8.118448246456019</v>
      </c>
      <c r="AL504" s="51">
        <f t="shared" si="438"/>
        <v>1.4473064524257193</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-0.000170731707317073</v>
      </c>
      <c r="AT504" s="32" t="str">
        <f t="shared" si="420"/>
        <v>0.172967084452758i</v>
      </c>
      <c r="AU504" s="32">
        <f t="shared" si="444"/>
        <v>0.17296708445275799</v>
      </c>
      <c r="AV504" s="32">
        <f t="shared" si="445"/>
        <v>1.5707963267948966</v>
      </c>
      <c r="AW504" s="32" t="str">
        <f t="shared" si="421"/>
        <v>1+36.8261775929057i</v>
      </c>
      <c r="AX504" s="32">
        <f t="shared" si="446"/>
        <v>36.839752389290432</v>
      </c>
      <c r="AY504" s="32">
        <f t="shared" si="447"/>
        <v>1.5436484015056906</v>
      </c>
      <c r="AZ504" s="32" t="str">
        <f t="shared" si="422"/>
        <v>1+699.697374265209i</v>
      </c>
      <c r="BA504" s="32">
        <f t="shared" si="448"/>
        <v>699.69808885949374</v>
      </c>
      <c r="BB504" s="32">
        <f t="shared" si="449"/>
        <v>1.5693671384687431</v>
      </c>
      <c r="BC504" s="60" t="str">
        <f t="shared" si="450"/>
        <v>-0.000482110357242496+0.0187413579211636i</v>
      </c>
      <c r="BD504" s="51">
        <f t="shared" si="451"/>
        <v>-34.541105930084882</v>
      </c>
      <c r="BE504" s="63">
        <f t="shared" si="452"/>
        <v>91.473575082390013</v>
      </c>
      <c r="BF504" s="60" t="str">
        <f t="shared" si="453"/>
        <v>-0.000843550635057335-0.00403288465402981i</v>
      </c>
      <c r="BG504" s="66">
        <f t="shared" si="454"/>
        <v>-47.701713795237652</v>
      </c>
      <c r="BH504" s="63">
        <f t="shared" si="455"/>
        <v>-101.8141178218595</v>
      </c>
      <c r="BI504" s="60" t="e">
        <f t="shared" si="460"/>
        <v>#NUM!</v>
      </c>
      <c r="BJ504" s="66" t="e">
        <f t="shared" si="456"/>
        <v>#NUM!</v>
      </c>
      <c r="BK504" s="63" t="e">
        <f t="shared" si="461"/>
        <v>#NUM!</v>
      </c>
      <c r="BL504" s="51">
        <f t="shared" si="457"/>
        <v>-47.701713795237652</v>
      </c>
      <c r="BM504" s="63">
        <f t="shared" si="458"/>
        <v>-101.8141178218595</v>
      </c>
    </row>
    <row r="505" spans="14:65" x14ac:dyDescent="0.3">
      <c r="N505" s="11">
        <v>87</v>
      </c>
      <c r="O505" s="52">
        <f t="shared" si="459"/>
        <v>741310.24130091805</v>
      </c>
      <c r="P505" s="50" t="str">
        <f t="shared" si="411"/>
        <v>23.3035714285714</v>
      </c>
      <c r="Q505" s="18" t="str">
        <f t="shared" si="412"/>
        <v>1+1766.6330615744i</v>
      </c>
      <c r="R505" s="18">
        <f t="shared" si="423"/>
        <v>1766.633344598629</v>
      </c>
      <c r="S505" s="18">
        <f t="shared" si="424"/>
        <v>1.5702302783522704</v>
      </c>
      <c r="T505" s="18" t="str">
        <f t="shared" si="413"/>
        <v>1+8.24428762068052i</v>
      </c>
      <c r="U505" s="18">
        <f t="shared" si="425"/>
        <v>8.3047142258181328</v>
      </c>
      <c r="V505" s="18">
        <f t="shared" si="426"/>
        <v>1.4500898885495899</v>
      </c>
      <c r="W505" s="32" t="str">
        <f t="shared" si="414"/>
        <v>1-11.3857079507201i</v>
      </c>
      <c r="X505" s="18">
        <f t="shared" si="427"/>
        <v>11.42953829072246</v>
      </c>
      <c r="Y505" s="18">
        <f t="shared" si="428"/>
        <v>-1.4831917171139801</v>
      </c>
      <c r="Z505" s="32" t="str">
        <f t="shared" si="415"/>
        <v>-1.1981634954305+5.58806664729996i</v>
      </c>
      <c r="AA505" s="18">
        <f t="shared" si="429"/>
        <v>5.7150752065435197</v>
      </c>
      <c r="AB505" s="18">
        <f t="shared" si="430"/>
        <v>1.7820129560184026</v>
      </c>
      <c r="AC505" s="68" t="str">
        <f t="shared" si="431"/>
        <v>-0.212606145335586+0.0528746176804176i</v>
      </c>
      <c r="AD505" s="66">
        <f t="shared" si="432"/>
        <v>-13.187850180638687</v>
      </c>
      <c r="AE505" s="63">
        <f t="shared" si="433"/>
        <v>166.03401569837084</v>
      </c>
      <c r="AF505" s="51" t="e">
        <f t="shared" si="434"/>
        <v>#NUM!</v>
      </c>
      <c r="AG505" s="51" t="str">
        <f t="shared" si="416"/>
        <v>1-2473.28628620416i</v>
      </c>
      <c r="AH505" s="51">
        <f t="shared" si="435"/>
        <v>2473.2864883643315</v>
      </c>
      <c r="AI505" s="51">
        <f t="shared" si="436"/>
        <v>-1.5703920064575843</v>
      </c>
      <c r="AJ505" s="51" t="str">
        <f t="shared" si="417"/>
        <v>1+8.24428762068052i</v>
      </c>
      <c r="AK505" s="51">
        <f t="shared" si="437"/>
        <v>8.3047142258181328</v>
      </c>
      <c r="AL505" s="51">
        <f t="shared" si="438"/>
        <v>1.4500898885495899</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-0.000170731707317073</v>
      </c>
      <c r="AT505" s="32" t="str">
        <f t="shared" si="420"/>
        <v>0.17699600541574i</v>
      </c>
      <c r="AU505" s="32">
        <f t="shared" si="444"/>
        <v>0.17699600541574001</v>
      </c>
      <c r="AV505" s="32">
        <f t="shared" si="445"/>
        <v>1.5707963267948966</v>
      </c>
      <c r="AW505" s="32" t="str">
        <f t="shared" si="421"/>
        <v>1+37.6839694633068i</v>
      </c>
      <c r="AX505" s="32">
        <f t="shared" si="446"/>
        <v>37.697235369605551</v>
      </c>
      <c r="AY505" s="32">
        <f t="shared" si="447"/>
        <v>1.5442660704269746</v>
      </c>
      <c r="AZ505" s="32" t="str">
        <f t="shared" si="422"/>
        <v>1+715.99541980283i</v>
      </c>
      <c r="BA505" s="32">
        <f t="shared" si="448"/>
        <v>715.99611813097897</v>
      </c>
      <c r="BB505" s="32">
        <f t="shared" si="449"/>
        <v>1.569399670724025</v>
      </c>
      <c r="BC505" s="60" t="str">
        <f t="shared" si="450"/>
        <v>-0.000460427085843227+0.0183153279295703i</v>
      </c>
      <c r="BD505" s="51">
        <f t="shared" si="451"/>
        <v>-34.740962302916174</v>
      </c>
      <c r="BE505" s="63">
        <f t="shared" si="452"/>
        <v>91.440049220989749</v>
      </c>
      <c r="BF505" s="60" t="str">
        <f t="shared" si="453"/>
        <v>-0.000870526334038279-0.00391829617779681i</v>
      </c>
      <c r="BG505" s="66">
        <f t="shared" si="454"/>
        <v>-47.928812483554857</v>
      </c>
      <c r="BH505" s="63">
        <f t="shared" si="455"/>
        <v>-102.52593508063941</v>
      </c>
      <c r="BI505" s="60" t="e">
        <f t="shared" si="460"/>
        <v>#NUM!</v>
      </c>
      <c r="BJ505" s="66" t="e">
        <f t="shared" si="456"/>
        <v>#NUM!</v>
      </c>
      <c r="BK505" s="63" t="e">
        <f t="shared" si="461"/>
        <v>#NUM!</v>
      </c>
      <c r="BL505" s="51">
        <f t="shared" si="457"/>
        <v>-47.928812483554857</v>
      </c>
      <c r="BM505" s="63">
        <f t="shared" si="458"/>
        <v>-102.52593508063941</v>
      </c>
    </row>
    <row r="506" spans="14:65" x14ac:dyDescent="0.3">
      <c r="N506" s="11">
        <v>88</v>
      </c>
      <c r="O506" s="52">
        <f t="shared" si="459"/>
        <v>758577.57502918423</v>
      </c>
      <c r="P506" s="50" t="str">
        <f t="shared" si="411"/>
        <v>23.3035714285714</v>
      </c>
      <c r="Q506" s="18" t="str">
        <f t="shared" si="412"/>
        <v>1+1807.78323184057i</v>
      </c>
      <c r="R506" s="18">
        <f t="shared" si="423"/>
        <v>1807.7835084223818</v>
      </c>
      <c r="S506" s="18">
        <f t="shared" si="424"/>
        <v>1.5702431631852392</v>
      </c>
      <c r="T506" s="18" t="str">
        <f t="shared" si="413"/>
        <v>1+8.43632174858935i</v>
      </c>
      <c r="U506" s="18">
        <f t="shared" si="425"/>
        <v>8.4953825485213823</v>
      </c>
      <c r="V506" s="18">
        <f t="shared" si="426"/>
        <v>1.452811783257665</v>
      </c>
      <c r="W506" s="32" t="str">
        <f t="shared" si="414"/>
        <v>1-11.6509151581272i</v>
      </c>
      <c r="X506" s="18">
        <f t="shared" si="427"/>
        <v>11.693751494788922</v>
      </c>
      <c r="Y506" s="18">
        <f t="shared" si="428"/>
        <v>-1.4851759975944505</v>
      </c>
      <c r="Z506" s="32" t="str">
        <f t="shared" si="415"/>
        <v>-1.30175974934864+5.71822944057986i</v>
      </c>
      <c r="AA506" s="18">
        <f t="shared" si="429"/>
        <v>5.8645312157186513</v>
      </c>
      <c r="AB506" s="18">
        <f t="shared" si="430"/>
        <v>1.7946324422271824</v>
      </c>
      <c r="AC506" s="68" t="str">
        <f t="shared" si="431"/>
        <v>-0.211266417610616+0.0552178649115028i</v>
      </c>
      <c r="AD506" s="66">
        <f t="shared" si="432"/>
        <v>-13.216408749364756</v>
      </c>
      <c r="AE506" s="63">
        <f t="shared" si="433"/>
        <v>165.35249633458591</v>
      </c>
      <c r="AF506" s="51" t="e">
        <f t="shared" si="434"/>
        <v>#NUM!</v>
      </c>
      <c r="AG506" s="51" t="str">
        <f t="shared" si="416"/>
        <v>1-2530.89652457681i</v>
      </c>
      <c r="AH506" s="51">
        <f t="shared" si="435"/>
        <v>2530.8967221352545</v>
      </c>
      <c r="AI506" s="51">
        <f t="shared" si="436"/>
        <v>-1.5704012099111164</v>
      </c>
      <c r="AJ506" s="51" t="str">
        <f t="shared" si="417"/>
        <v>1+8.43632174858935i</v>
      </c>
      <c r="AK506" s="51">
        <f t="shared" si="437"/>
        <v>8.4953825485213823</v>
      </c>
      <c r="AL506" s="51">
        <f t="shared" si="438"/>
        <v>1.452811783257665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-0.000170731707317073</v>
      </c>
      <c r="AT506" s="32" t="str">
        <f t="shared" si="420"/>
        <v>0.181118772003613i</v>
      </c>
      <c r="AU506" s="32">
        <f t="shared" si="444"/>
        <v>0.18111877200361301</v>
      </c>
      <c r="AV506" s="32">
        <f t="shared" si="445"/>
        <v>1.5707963267948966</v>
      </c>
      <c r="AW506" s="32" t="str">
        <f t="shared" si="421"/>
        <v>1+38.5617418731238i</v>
      </c>
      <c r="AX506" s="32">
        <f t="shared" si="446"/>
        <v>38.574705913194329</v>
      </c>
      <c r="AY506" s="32">
        <f t="shared" si="447"/>
        <v>1.5448696990531847</v>
      </c>
      <c r="AZ506" s="32" t="str">
        <f t="shared" si="422"/>
        <v>1+732.673095589353i</v>
      </c>
      <c r="BA506" s="32">
        <f t="shared" si="448"/>
        <v>732.67377802162753</v>
      </c>
      <c r="BB506" s="32">
        <f t="shared" si="449"/>
        <v>1.5694314624576249</v>
      </c>
      <c r="BC506" s="60" t="str">
        <f t="shared" si="450"/>
        <v>-0.000439718379809767+0.0178989571940335i</v>
      </c>
      <c r="BD506" s="51">
        <f t="shared" si="451"/>
        <v>-34.940825135576013</v>
      </c>
      <c r="BE506" s="63">
        <f t="shared" si="452"/>
        <v>91.407285380473297</v>
      </c>
      <c r="BF506" s="60" t="str">
        <f t="shared" si="453"/>
        <v>-0.000895444473536959-0.00380572887544466i</v>
      </c>
      <c r="BG506" s="66">
        <f t="shared" si="454"/>
        <v>-48.157233884940773</v>
      </c>
      <c r="BH506" s="63">
        <f t="shared" si="455"/>
        <v>-103.2402182849408</v>
      </c>
      <c r="BI506" s="60" t="e">
        <f t="shared" si="460"/>
        <v>#NUM!</v>
      </c>
      <c r="BJ506" s="66" t="e">
        <f t="shared" si="456"/>
        <v>#NUM!</v>
      </c>
      <c r="BK506" s="63" t="e">
        <f t="shared" si="461"/>
        <v>#NUM!</v>
      </c>
      <c r="BL506" s="51">
        <f t="shared" si="457"/>
        <v>-48.157233884940773</v>
      </c>
      <c r="BM506" s="63">
        <f t="shared" si="458"/>
        <v>-103.2402182849408</v>
      </c>
    </row>
    <row r="507" spans="14:65" x14ac:dyDescent="0.3">
      <c r="N507" s="11">
        <v>89</v>
      </c>
      <c r="O507" s="52">
        <f t="shared" si="459"/>
        <v>776247.11662869214</v>
      </c>
      <c r="P507" s="50" t="str">
        <f t="shared" si="411"/>
        <v>23.3035714285714</v>
      </c>
      <c r="Q507" s="18" t="str">
        <f t="shared" si="412"/>
        <v>1+1849.89191270511i</v>
      </c>
      <c r="R507" s="18">
        <f t="shared" si="423"/>
        <v>1849.8921829911519</v>
      </c>
      <c r="S507" s="18">
        <f t="shared" si="424"/>
        <v>1.5702557547237794</v>
      </c>
      <c r="T507" s="18" t="str">
        <f t="shared" si="413"/>
        <v>1+8.6328289259572i</v>
      </c>
      <c r="U507" s="18">
        <f t="shared" si="425"/>
        <v>8.690554370397976</v>
      </c>
      <c r="V507" s="18">
        <f t="shared" si="426"/>
        <v>1.4554734183220006</v>
      </c>
      <c r="W507" s="32" t="str">
        <f t="shared" si="414"/>
        <v>1-11.9222998349691i</v>
      </c>
      <c r="X507" s="18">
        <f t="shared" si="427"/>
        <v>11.964164548973081</v>
      </c>
      <c r="Y507" s="18">
        <f t="shared" si="428"/>
        <v>-1.487115763658033</v>
      </c>
      <c r="Z507" s="32" t="str">
        <f t="shared" si="415"/>
        <v>-1.41023834429744+5.85142411479887i</v>
      </c>
      <c r="AA507" s="18">
        <f t="shared" si="429"/>
        <v>6.0189647248489937</v>
      </c>
      <c r="AB507" s="18">
        <f t="shared" si="430"/>
        <v>1.8072939194738371</v>
      </c>
      <c r="AC507" s="68" t="str">
        <f t="shared" si="431"/>
        <v>-0.209867472252426+0.0575404847482155i</v>
      </c>
      <c r="AD507" s="66">
        <f t="shared" si="432"/>
        <v>-13.246317443734021</v>
      </c>
      <c r="AE507" s="63">
        <f t="shared" si="433"/>
        <v>164.66768573104019</v>
      </c>
      <c r="AF507" s="51" t="e">
        <f t="shared" si="434"/>
        <v>#NUM!</v>
      </c>
      <c r="AG507" s="51" t="str">
        <f t="shared" si="416"/>
        <v>1-2589.84867778717i</v>
      </c>
      <c r="AH507" s="51">
        <f t="shared" si="435"/>
        <v>2589.8488708486357</v>
      </c>
      <c r="AI507" s="51">
        <f t="shared" si="436"/>
        <v>-1.5704102038685341</v>
      </c>
      <c r="AJ507" s="51" t="str">
        <f t="shared" si="417"/>
        <v>1+8.6328289259572i</v>
      </c>
      <c r="AK507" s="51">
        <f t="shared" si="437"/>
        <v>8.690554370397976</v>
      </c>
      <c r="AL507" s="51">
        <f t="shared" si="438"/>
        <v>1.4554734183220006</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-0.000170731707317073</v>
      </c>
      <c r="AT507" s="32" t="str">
        <f t="shared" si="420"/>
        <v>0.185337570161793i</v>
      </c>
      <c r="AU507" s="32">
        <f t="shared" si="444"/>
        <v>0.185337570161793</v>
      </c>
      <c r="AV507" s="32">
        <f t="shared" si="445"/>
        <v>1.5707963267948966</v>
      </c>
      <c r="AW507" s="32" t="str">
        <f t="shared" si="421"/>
        <v>1+39.4599602289069i</v>
      </c>
      <c r="AX507" s="32">
        <f t="shared" si="446"/>
        <v>39.472629267213939</v>
      </c>
      <c r="AY507" s="32">
        <f t="shared" si="447"/>
        <v>1.5454596056756598</v>
      </c>
      <c r="AZ507" s="32" t="str">
        <f t="shared" si="422"/>
        <v>1+749.739244349232i</v>
      </c>
      <c r="BA507" s="32">
        <f t="shared" si="448"/>
        <v>749.73991124746544</v>
      </c>
      <c r="BB507" s="32">
        <f t="shared" si="449"/>
        <v>1.5694625305256833</v>
      </c>
      <c r="BC507" s="60" t="str">
        <f t="shared" si="450"/>
        <v>-0.000419940494493641+0.0174920284003249i</v>
      </c>
      <c r="BD507" s="51">
        <f t="shared" si="451"/>
        <v>-35.140694137716281</v>
      </c>
      <c r="BE507" s="63">
        <f t="shared" si="452"/>
        <v>91.375266289876038</v>
      </c>
      <c r="BF507" s="60" t="str">
        <f t="shared" si="453"/>
        <v>-0.000918367943308433-0.0036951713645624i</v>
      </c>
      <c r="BG507" s="66">
        <f t="shared" si="454"/>
        <v>-48.387011581450317</v>
      </c>
      <c r="BH507" s="63">
        <f t="shared" si="455"/>
        <v>-103.95704797908378</v>
      </c>
      <c r="BI507" s="60" t="e">
        <f t="shared" si="460"/>
        <v>#NUM!</v>
      </c>
      <c r="BJ507" s="66" t="e">
        <f t="shared" si="456"/>
        <v>#NUM!</v>
      </c>
      <c r="BK507" s="63" t="e">
        <f t="shared" si="461"/>
        <v>#NUM!</v>
      </c>
      <c r="BL507" s="51">
        <f t="shared" si="457"/>
        <v>-48.387011581450317</v>
      </c>
      <c r="BM507" s="63">
        <f t="shared" si="458"/>
        <v>-103.95704797908378</v>
      </c>
    </row>
    <row r="508" spans="14:65" x14ac:dyDescent="0.3">
      <c r="N508" s="11">
        <v>90</v>
      </c>
      <c r="O508" s="52">
        <f t="shared" si="459"/>
        <v>794328.23472428333</v>
      </c>
      <c r="P508" s="50" t="str">
        <f t="shared" si="411"/>
        <v>23.3035714285714</v>
      </c>
      <c r="Q508" s="18" t="str">
        <f t="shared" si="412"/>
        <v>1+1892.98143074799i</v>
      </c>
      <c r="R508" s="18">
        <f t="shared" si="423"/>
        <v>1892.9816948815717</v>
      </c>
      <c r="S508" s="18">
        <f t="shared" si="424"/>
        <v>1.5702680596440759</v>
      </c>
      <c r="T508" s="18" t="str">
        <f t="shared" si="413"/>
        <v>1+8.83391334349061i</v>
      </c>
      <c r="U508" s="18">
        <f t="shared" si="425"/>
        <v>8.8903332311168981</v>
      </c>
      <c r="V508" s="18">
        <f t="shared" si="426"/>
        <v>1.4580760540488289</v>
      </c>
      <c r="W508" s="32" t="str">
        <f t="shared" si="414"/>
        <v>1-12.2000058729939i</v>
      </c>
      <c r="X508" s="18">
        <f t="shared" si="427"/>
        <v>12.240920851843036</v>
      </c>
      <c r="Y508" s="18">
        <f t="shared" si="428"/>
        <v>-1.4890119853719828</v>
      </c>
      <c r="Z508" s="32" t="str">
        <f t="shared" si="415"/>
        <v>-1.52382937792079+5.98772129153631i</v>
      </c>
      <c r="AA508" s="18">
        <f t="shared" si="429"/>
        <v>6.178580924300638</v>
      </c>
      <c r="AB508" s="18">
        <f t="shared" si="430"/>
        <v>1.8199986125322285</v>
      </c>
      <c r="AC508" s="68" t="str">
        <f t="shared" si="431"/>
        <v>-0.208409051061701+0.0598409223897115i</v>
      </c>
      <c r="AD508" s="66">
        <f t="shared" si="432"/>
        <v>-13.277610788058542</v>
      </c>
      <c r="AE508" s="63">
        <f t="shared" si="433"/>
        <v>163.97952996031182</v>
      </c>
      <c r="AF508" s="51" t="e">
        <f t="shared" si="434"/>
        <v>#NUM!</v>
      </c>
      <c r="AG508" s="51" t="str">
        <f t="shared" si="416"/>
        <v>1-2650.17400304719i</v>
      </c>
      <c r="AH508" s="51">
        <f t="shared" si="435"/>
        <v>2650.1741917140403</v>
      </c>
      <c r="AI508" s="51">
        <f t="shared" si="436"/>
        <v>-1.5704189930985468</v>
      </c>
      <c r="AJ508" s="51" t="str">
        <f t="shared" si="417"/>
        <v>1+8.83391334349061i</v>
      </c>
      <c r="AK508" s="51">
        <f t="shared" si="437"/>
        <v>8.8903332311168981</v>
      </c>
      <c r="AL508" s="51">
        <f t="shared" si="438"/>
        <v>1.4580760540488289</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-0.000170731707317073</v>
      </c>
      <c r="AT508" s="32" t="str">
        <f t="shared" si="420"/>
        <v>0.189654636752906i</v>
      </c>
      <c r="AU508" s="32">
        <f t="shared" si="444"/>
        <v>0.189654636752906</v>
      </c>
      <c r="AV508" s="32">
        <f t="shared" si="445"/>
        <v>1.5707963267948966</v>
      </c>
      <c r="AW508" s="32" t="str">
        <f t="shared" si="421"/>
        <v>1+40.3791007779178i</v>
      </c>
      <c r="AX508" s="32">
        <f t="shared" si="446"/>
        <v>40.391481523128633</v>
      </c>
      <c r="AY508" s="32">
        <f t="shared" si="447"/>
        <v>1.5460361014275066</v>
      </c>
      <c r="AZ508" s="32" t="str">
        <f t="shared" si="422"/>
        <v>1+767.202914780439i</v>
      </c>
      <c r="BA508" s="32">
        <f t="shared" si="448"/>
        <v>767.20356649822827</v>
      </c>
      <c r="BB508" s="32">
        <f t="shared" si="449"/>
        <v>1.5694928914006614</v>
      </c>
      <c r="BC508" s="60" t="str">
        <f t="shared" si="450"/>
        <v>-0.000401051643710536+0.0170943290106151i</v>
      </c>
      <c r="BD508" s="51">
        <f t="shared" si="451"/>
        <v>-35.340569032022351</v>
      </c>
      <c r="BE508" s="63">
        <f t="shared" si="452"/>
        <v>91.343975066386562</v>
      </c>
      <c r="BF508" s="60" t="str">
        <f t="shared" si="453"/>
        <v>-0.000939357623135964-0.00358661218792435i</v>
      </c>
      <c r="BG508" s="66">
        <f t="shared" si="454"/>
        <v>-48.618179820080897</v>
      </c>
      <c r="BH508" s="63">
        <f t="shared" si="455"/>
        <v>-104.6764949733016</v>
      </c>
      <c r="BI508" s="60" t="e">
        <f t="shared" si="460"/>
        <v>#NUM!</v>
      </c>
      <c r="BJ508" s="66" t="e">
        <f t="shared" si="456"/>
        <v>#NUM!</v>
      </c>
      <c r="BK508" s="63" t="e">
        <f t="shared" si="461"/>
        <v>#NUM!</v>
      </c>
      <c r="BL508" s="51">
        <f t="shared" si="457"/>
        <v>-48.618179820080897</v>
      </c>
      <c r="BM508" s="63">
        <f t="shared" si="458"/>
        <v>-104.6764949733016</v>
      </c>
    </row>
    <row r="509" spans="14:65" x14ac:dyDescent="0.3">
      <c r="N509" s="11">
        <v>91</v>
      </c>
      <c r="O509" s="52">
        <f t="shared" si="459"/>
        <v>812830.51616410096</v>
      </c>
      <c r="P509" s="50" t="str">
        <f t="shared" si="411"/>
        <v>23.3035714285714</v>
      </c>
      <c r="Q509" s="18" t="str">
        <f t="shared" si="412"/>
        <v>1+1937.07463260201i</v>
      </c>
      <c r="R509" s="18">
        <f t="shared" si="423"/>
        <v>1937.0748907231782</v>
      </c>
      <c r="S509" s="18">
        <f t="shared" si="424"/>
        <v>1.5702800844703448</v>
      </c>
      <c r="T509" s="18" t="str">
        <f t="shared" si="413"/>
        <v>1+9.03968161880939i</v>
      </c>
      <c r="U509" s="18">
        <f t="shared" si="425"/>
        <v>9.0948251093377444</v>
      </c>
      <c r="V509" s="18">
        <f t="shared" si="426"/>
        <v>1.4606209292777632</v>
      </c>
      <c r="W509" s="32" t="str">
        <f t="shared" si="414"/>
        <v>1-12.4841805156187i</v>
      </c>
      <c r="X509" s="18">
        <f t="shared" si="427"/>
        <v>12.524167163789919</v>
      </c>
      <c r="Y509" s="18">
        <f t="shared" si="428"/>
        <v>-1.4908656135624958</v>
      </c>
      <c r="Z509" s="32" t="str">
        <f t="shared" si="415"/>
        <v>-1.6427737920304+6.12719323735937i</v>
      </c>
      <c r="AA509" s="18">
        <f t="shared" si="429"/>
        <v>6.3435954079468475</v>
      </c>
      <c r="AB509" s="18">
        <f t="shared" si="430"/>
        <v>1.8327475732109293</v>
      </c>
      <c r="AC509" s="68" t="str">
        <f t="shared" si="431"/>
        <v>-0.206890954640013+0.0621175548114327i</v>
      </c>
      <c r="AD509" s="66">
        <f t="shared" si="432"/>
        <v>-13.310323905009502</v>
      </c>
      <c r="AE509" s="63">
        <f t="shared" si="433"/>
        <v>163.28798488635198</v>
      </c>
      <c r="AF509" s="51" t="e">
        <f t="shared" si="434"/>
        <v>#NUM!</v>
      </c>
      <c r="AG509" s="51" t="str">
        <f t="shared" si="416"/>
        <v>1-2711.90448564282i</v>
      </c>
      <c r="AH509" s="51">
        <f t="shared" si="435"/>
        <v>2711.9046700150893</v>
      </c>
      <c r="AI509" s="51">
        <f t="shared" si="436"/>
        <v>-1.5704275822613152</v>
      </c>
      <c r="AJ509" s="51" t="str">
        <f t="shared" si="417"/>
        <v>1+9.03968161880939i</v>
      </c>
      <c r="AK509" s="51">
        <f t="shared" si="437"/>
        <v>9.0948251093377444</v>
      </c>
      <c r="AL509" s="51">
        <f t="shared" si="438"/>
        <v>1.4606209292777632</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-0.000170731707317073</v>
      </c>
      <c r="AT509" s="32" t="str">
        <f t="shared" si="420"/>
        <v>0.1940722607428i</v>
      </c>
      <c r="AU509" s="32">
        <f t="shared" si="444"/>
        <v>0.19407226074280001</v>
      </c>
      <c r="AV509" s="32">
        <f t="shared" si="445"/>
        <v>1.5707963267948966</v>
      </c>
      <c r="AW509" s="32" t="str">
        <f t="shared" si="421"/>
        <v>1+41.3196508606416i</v>
      </c>
      <c r="AX509" s="32">
        <f t="shared" si="446"/>
        <v>41.331749869142008</v>
      </c>
      <c r="AY509" s="32">
        <f t="shared" si="447"/>
        <v>1.5465994904407505</v>
      </c>
      <c r="AZ509" s="32" t="str">
        <f t="shared" si="422"/>
        <v>1+785.073366352191i</v>
      </c>
      <c r="BA509" s="32">
        <f t="shared" si="448"/>
        <v>785.07400323508455</v>
      </c>
      <c r="BB509" s="32">
        <f t="shared" si="449"/>
        <v>1.5695225611800725</v>
      </c>
      <c r="BC509" s="60" t="str">
        <f t="shared" si="450"/>
        <v>-0.000383011912505371+0.0167056511660708i</v>
      </c>
      <c r="BD509" s="51">
        <f t="shared" si="451"/>
        <v>-35.540449553629102</v>
      </c>
      <c r="BE509" s="63">
        <f t="shared" si="452"/>
        <v>91.313395206842983</v>
      </c>
      <c r="BF509" s="60" t="str">
        <f t="shared" si="453"/>
        <v>-0.000958472501752344-0.00348003988109992i</v>
      </c>
      <c r="BG509" s="66">
        <f t="shared" si="454"/>
        <v>-48.850773458638614</v>
      </c>
      <c r="BH509" s="63">
        <f t="shared" si="455"/>
        <v>-105.39861990680502</v>
      </c>
      <c r="BI509" s="60" t="e">
        <f t="shared" si="460"/>
        <v>#NUM!</v>
      </c>
      <c r="BJ509" s="66" t="e">
        <f t="shared" si="456"/>
        <v>#NUM!</v>
      </c>
      <c r="BK509" s="63" t="e">
        <f t="shared" si="461"/>
        <v>#NUM!</v>
      </c>
      <c r="BL509" s="51">
        <f t="shared" si="457"/>
        <v>-48.850773458638614</v>
      </c>
      <c r="BM509" s="63">
        <f t="shared" si="458"/>
        <v>-105.39861990680502</v>
      </c>
    </row>
    <row r="510" spans="14:65" x14ac:dyDescent="0.3">
      <c r="N510" s="11">
        <v>92</v>
      </c>
      <c r="O510" s="52">
        <f t="shared" si="459"/>
        <v>831763.77110267128</v>
      </c>
      <c r="P510" s="50" t="str">
        <f t="shared" si="411"/>
        <v>23.3035714285714</v>
      </c>
      <c r="Q510" s="18" t="str">
        <f t="shared" si="412"/>
        <v>1+1982.19489706645i</v>
      </c>
      <c r="R510" s="18">
        <f t="shared" si="423"/>
        <v>1982.1951493120637</v>
      </c>
      <c r="S510" s="18">
        <f t="shared" si="424"/>
        <v>1.5702918355782949</v>
      </c>
      <c r="T510" s="18" t="str">
        <f t="shared" si="413"/>
        <v>1+9.25024285297677i</v>
      </c>
      <c r="U510" s="18">
        <f t="shared" si="425"/>
        <v>9.3041384791418391</v>
      </c>
      <c r="V510" s="18">
        <f t="shared" si="426"/>
        <v>1.4631092614110248</v>
      </c>
      <c r="W510" s="32" t="str">
        <f t="shared" si="414"/>
        <v>1-12.7749744360006i</v>
      </c>
      <c r="X510" s="18">
        <f t="shared" si="427"/>
        <v>12.814053684937834</v>
      </c>
      <c r="Y510" s="18">
        <f t="shared" si="428"/>
        <v>-1.4926775800677754</v>
      </c>
      <c r="Z510" s="32" t="str">
        <f t="shared" si="415"/>
        <v>-1.76732388367576+6.26991390213986i</v>
      </c>
      <c r="AA510" s="18">
        <f t="shared" si="429"/>
        <v>6.5142347248205192</v>
      </c>
      <c r="AB510" s="18">
        <f t="shared" si="430"/>
        <v>1.8455416726147995</v>
      </c>
      <c r="AC510" s="68" t="str">
        <f t="shared" si="431"/>
        <v>-0.205313048881228+0.0643686922814992i</v>
      </c>
      <c r="AD510" s="66">
        <f t="shared" si="432"/>
        <v>-13.344492456826927</v>
      </c>
      <c r="AE510" s="63">
        <f t="shared" si="433"/>
        <v>162.59301659484021</v>
      </c>
      <c r="AF510" s="51" t="e">
        <f t="shared" si="434"/>
        <v>#NUM!</v>
      </c>
      <c r="AG510" s="51" t="str">
        <f t="shared" si="416"/>
        <v>1-2775.07285589304i</v>
      </c>
      <c r="AH510" s="51">
        <f t="shared" si="435"/>
        <v>2775.0730360684843</v>
      </c>
      <c r="AI510" s="51">
        <f t="shared" si="436"/>
        <v>-1.5704359759109217</v>
      </c>
      <c r="AJ510" s="51" t="str">
        <f t="shared" si="417"/>
        <v>1+9.25024285297677i</v>
      </c>
      <c r="AK510" s="51">
        <f t="shared" si="437"/>
        <v>9.3041384791418391</v>
      </c>
      <c r="AL510" s="51">
        <f t="shared" si="438"/>
        <v>1.4631092614110248</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-0.000170731707317073</v>
      </c>
      <c r="AT510" s="32" t="str">
        <f t="shared" si="420"/>
        <v>0.19859278441419i</v>
      </c>
      <c r="AU510" s="32">
        <f t="shared" si="444"/>
        <v>0.19859278441419001</v>
      </c>
      <c r="AV510" s="32">
        <f t="shared" si="445"/>
        <v>1.5707963267948966</v>
      </c>
      <c r="AW510" s="32" t="str">
        <f t="shared" si="421"/>
        <v>1+42.2821091691819i</v>
      </c>
      <c r="AX510" s="32">
        <f t="shared" si="446"/>
        <v>42.293932848514061</v>
      </c>
      <c r="AY510" s="32">
        <f t="shared" si="447"/>
        <v>1.5471500700002949</v>
      </c>
      <c r="AZ510" s="32" t="str">
        <f t="shared" si="422"/>
        <v>1+803.360074214457i</v>
      </c>
      <c r="BA510" s="32">
        <f t="shared" si="448"/>
        <v>803.3606966001372</v>
      </c>
      <c r="BB510" s="32">
        <f t="shared" si="449"/>
        <v>1.5695515555950177</v>
      </c>
      <c r="BC510" s="60" t="str">
        <f t="shared" si="450"/>
        <v>-0.000365783173763686+0.0163257915909169i</v>
      </c>
      <c r="BD510" s="51">
        <f t="shared" si="451"/>
        <v>-35.740335449563787</v>
      </c>
      <c r="BE510" s="63">
        <f t="shared" si="452"/>
        <v>91.283510579400726</v>
      </c>
      <c r="BF510" s="60" t="str">
        <f t="shared" si="453"/>
        <v>-0.000975769796532743-0.00337544303148441i</v>
      </c>
      <c r="BG510" s="66">
        <f t="shared" si="454"/>
        <v>-49.084827906390707</v>
      </c>
      <c r="BH510" s="63">
        <f t="shared" si="455"/>
        <v>-106.12347282575905</v>
      </c>
      <c r="BI510" s="60" t="e">
        <f t="shared" si="460"/>
        <v>#NUM!</v>
      </c>
      <c r="BJ510" s="66" t="e">
        <f t="shared" si="456"/>
        <v>#NUM!</v>
      </c>
      <c r="BK510" s="63" t="e">
        <f t="shared" si="461"/>
        <v>#NUM!</v>
      </c>
      <c r="BL510" s="51">
        <f t="shared" si="457"/>
        <v>-49.084827906390707</v>
      </c>
      <c r="BM510" s="63">
        <f t="shared" si="458"/>
        <v>-106.12347282575905</v>
      </c>
    </row>
    <row r="511" spans="14:65" x14ac:dyDescent="0.3">
      <c r="N511" s="11">
        <v>93</v>
      </c>
      <c r="O511" s="52">
        <f t="shared" si="459"/>
        <v>851138.03820237669</v>
      </c>
      <c r="P511" s="50" t="str">
        <f t="shared" si="411"/>
        <v>23.3035714285714</v>
      </c>
      <c r="Q511" s="18" t="str">
        <f t="shared" si="412"/>
        <v>1+2028.36614750277i</v>
      </c>
      <c r="R511" s="18">
        <f t="shared" si="423"/>
        <v>2028.3663940065733</v>
      </c>
      <c r="S511" s="18">
        <f t="shared" si="424"/>
        <v>1.5703033191985056</v>
      </c>
      <c r="T511" s="18" t="str">
        <f t="shared" si="413"/>
        <v>1+9.46570868834626i</v>
      </c>
      <c r="U511" s="18">
        <f t="shared" si="425"/>
        <v>9.5183843677713433</v>
      </c>
      <c r="V511" s="18">
        <f t="shared" si="426"/>
        <v>1.4655422464702796</v>
      </c>
      <c r="W511" s="32" t="str">
        <f t="shared" si="414"/>
        <v>1-13.0725418169251i</v>
      </c>
      <c r="X511" s="18">
        <f t="shared" si="427"/>
        <v>13.110734134870381</v>
      </c>
      <c r="Y511" s="18">
        <f t="shared" si="428"/>
        <v>-1.4944487979971699</v>
      </c>
      <c r="Z511" s="32" t="str">
        <f t="shared" si="415"/>
        <v>-1.89774384029997+6.41595895826339i</v>
      </c>
      <c r="AA511" s="18">
        <f t="shared" si="429"/>
        <v>6.6907369577287019</v>
      </c>
      <c r="AB511" s="18">
        <f t="shared" si="430"/>
        <v>1.8583815937332777</v>
      </c>
      <c r="AC511" s="68" t="str">
        <f t="shared" si="431"/>
        <v>-0.203675271535128+0.0665925804456407i</v>
      </c>
      <c r="AD511" s="66">
        <f t="shared" si="432"/>
        <v>-13.380152581279097</v>
      </c>
      <c r="AE511" s="63">
        <f t="shared" si="433"/>
        <v>161.89460180606045</v>
      </c>
      <c r="AF511" s="51" t="e">
        <f t="shared" si="434"/>
        <v>#NUM!</v>
      </c>
      <c r="AG511" s="51" t="str">
        <f t="shared" si="416"/>
        <v>1-2839.71260650388i</v>
      </c>
      <c r="AH511" s="51">
        <f t="shared" si="435"/>
        <v>2839.7127825780303</v>
      </c>
      <c r="AI511" s="51">
        <f t="shared" si="436"/>
        <v>-1.5704441784977861</v>
      </c>
      <c r="AJ511" s="51" t="str">
        <f t="shared" si="417"/>
        <v>1+9.46570868834626i</v>
      </c>
      <c r="AK511" s="51">
        <f t="shared" si="437"/>
        <v>9.5183843677713433</v>
      </c>
      <c r="AL511" s="51">
        <f t="shared" si="438"/>
        <v>1.4655422464702796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-0.000170731707317073</v>
      </c>
      <c r="AT511" s="32" t="str">
        <f t="shared" si="420"/>
        <v>0.203218604608564i</v>
      </c>
      <c r="AU511" s="32">
        <f t="shared" si="444"/>
        <v>0.203218604608564</v>
      </c>
      <c r="AV511" s="32">
        <f t="shared" si="445"/>
        <v>1.5707963267948966</v>
      </c>
      <c r="AW511" s="32" t="str">
        <f t="shared" si="421"/>
        <v>1+43.2669860116736i</v>
      </c>
      <c r="AX511" s="32">
        <f t="shared" si="446"/>
        <v>43.278540623897648</v>
      </c>
      <c r="AY511" s="32">
        <f t="shared" si="447"/>
        <v>1.5476881306947325</v>
      </c>
      <c r="AZ511" s="32" t="str">
        <f t="shared" si="422"/>
        <v>1+822.0727342218i</v>
      </c>
      <c r="BA511" s="32">
        <f t="shared" si="448"/>
        <v>822.0733424402631</v>
      </c>
      <c r="BB511" s="32">
        <f t="shared" si="449"/>
        <v>1.569579890018524</v>
      </c>
      <c r="BC511" s="60" t="str">
        <f t="shared" si="450"/>
        <v>-0.000349329008503289+0.0159545514979821i</v>
      </c>
      <c r="BD511" s="51">
        <f t="shared" si="451"/>
        <v>-35.940226478213276</v>
      </c>
      <c r="BE511" s="63">
        <f t="shared" si="452"/>
        <v>91.254305415369416</v>
      </c>
      <c r="BF511" s="60" t="str">
        <f t="shared" si="453"/>
        <v>-0.000991305073441486-0.00327281032867344i</v>
      </c>
      <c r="BG511" s="66">
        <f t="shared" si="454"/>
        <v>-49.320379059492367</v>
      </c>
      <c r="BH511" s="63">
        <f t="shared" si="455"/>
        <v>-106.85109277857012</v>
      </c>
      <c r="BI511" s="60" t="e">
        <f t="shared" si="460"/>
        <v>#NUM!</v>
      </c>
      <c r="BJ511" s="66" t="e">
        <f t="shared" si="456"/>
        <v>#NUM!</v>
      </c>
      <c r="BK511" s="63" t="e">
        <f t="shared" si="461"/>
        <v>#NUM!</v>
      </c>
      <c r="BL511" s="51">
        <f t="shared" si="457"/>
        <v>-49.320379059492367</v>
      </c>
      <c r="BM511" s="63">
        <f t="shared" si="458"/>
        <v>-106.85109277857012</v>
      </c>
    </row>
    <row r="512" spans="14:65" x14ac:dyDescent="0.3">
      <c r="N512" s="11">
        <v>94</v>
      </c>
      <c r="O512" s="52">
        <f t="shared" si="459"/>
        <v>870963.58995608077</v>
      </c>
      <c r="P512" s="50" t="str">
        <f t="shared" si="411"/>
        <v>23.3035714285714</v>
      </c>
      <c r="Q512" s="18" t="str">
        <f t="shared" si="412"/>
        <v>1+2075.61286451909i</v>
      </c>
      <c r="R512" s="18">
        <f t="shared" si="423"/>
        <v>2075.6131054117827</v>
      </c>
      <c r="S512" s="18">
        <f t="shared" si="424"/>
        <v>1.5703145414197326</v>
      </c>
      <c r="T512" s="18" t="str">
        <f t="shared" si="413"/>
        <v>1+9.68619336775577i</v>
      </c>
      <c r="U512" s="18">
        <f t="shared" si="425"/>
        <v>9.7376764147077637</v>
      </c>
      <c r="V512" s="18">
        <f t="shared" si="426"/>
        <v>1.467921059178821</v>
      </c>
      <c r="W512" s="32" t="str">
        <f t="shared" si="414"/>
        <v>1-13.3770404325566i</v>
      </c>
      <c r="X512" s="18">
        <f t="shared" si="427"/>
        <v>13.414365834218703</v>
      </c>
      <c r="Y512" s="18">
        <f t="shared" si="428"/>
        <v>-1.4961801619955286</v>
      </c>
      <c r="Z512" s="32" t="str">
        <f t="shared" si="415"/>
        <v>-2.03431030011674+6.56540584075185i</v>
      </c>
      <c r="AA512" s="18">
        <f t="shared" si="429"/>
        <v>6.8733523298998414</v>
      </c>
      <c r="AB512" s="18">
        <f t="shared" si="430"/>
        <v>1.8712678243983307</v>
      </c>
      <c r="AC512" s="68" t="str">
        <f t="shared" si="431"/>
        <v>-0.201977638796894+0.0687874030045158i</v>
      </c>
      <c r="AD512" s="66">
        <f t="shared" si="432"/>
        <v>-13.417340822385482</v>
      </c>
      <c r="AE512" s="63">
        <f t="shared" si="433"/>
        <v>161.19272826775236</v>
      </c>
      <c r="AF512" s="51" t="e">
        <f t="shared" si="434"/>
        <v>#NUM!</v>
      </c>
      <c r="AG512" s="51" t="str">
        <f t="shared" si="416"/>
        <v>1-2905.85801032674i</v>
      </c>
      <c r="AH512" s="51">
        <f t="shared" si="435"/>
        <v>2905.8581823929539</v>
      </c>
      <c r="AI512" s="51">
        <f t="shared" si="436"/>
        <v>-1.5704521943710237</v>
      </c>
      <c r="AJ512" s="51" t="str">
        <f t="shared" si="417"/>
        <v>1+9.68619336775577i</v>
      </c>
      <c r="AK512" s="51">
        <f t="shared" si="437"/>
        <v>9.7376764147077637</v>
      </c>
      <c r="AL512" s="51">
        <f t="shared" si="438"/>
        <v>1.467921059178821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-0.000170731707317073</v>
      </c>
      <c r="AT512" s="32" t="str">
        <f t="shared" si="420"/>
        <v>0.207952173997016i</v>
      </c>
      <c r="AU512" s="32">
        <f t="shared" si="444"/>
        <v>0.20795217399701599</v>
      </c>
      <c r="AV512" s="32">
        <f t="shared" si="445"/>
        <v>1.5707963267948966</v>
      </c>
      <c r="AW512" s="32" t="str">
        <f t="shared" si="421"/>
        <v>1+44.274803582855i</v>
      </c>
      <c r="AX512" s="32">
        <f t="shared" si="446"/>
        <v>44.28609524783586</v>
      </c>
      <c r="AY512" s="32">
        <f t="shared" si="447"/>
        <v>1.5482139565640631</v>
      </c>
      <c r="AZ512" s="32" t="str">
        <f t="shared" si="422"/>
        <v>1+841.221268074246i</v>
      </c>
      <c r="BA512" s="32">
        <f t="shared" si="448"/>
        <v>841.2218624479766</v>
      </c>
      <c r="BB512" s="32">
        <f t="shared" si="449"/>
        <v>1.5696075794736963</v>
      </c>
      <c r="BC512" s="60" t="str">
        <f t="shared" si="450"/>
        <v>-0.000333614629686894+0.0155917364957404i</v>
      </c>
      <c r="BD512" s="51">
        <f t="shared" si="451"/>
        <v>-36.140122408814676</v>
      </c>
      <c r="BE512" s="63">
        <f t="shared" si="452"/>
        <v>91.225764301216387</v>
      </c>
      <c r="BF512" s="60" t="str">
        <f t="shared" si="453"/>
        <v>-0.00100513236670045-0.00317213060613348i</v>
      </c>
      <c r="BG512" s="66">
        <f t="shared" si="454"/>
        <v>-49.55746323120016</v>
      </c>
      <c r="BH512" s="63">
        <f t="shared" si="455"/>
        <v>-107.5815074310312</v>
      </c>
      <c r="BI512" s="60" t="e">
        <f t="shared" si="460"/>
        <v>#NUM!</v>
      </c>
      <c r="BJ512" s="66" t="e">
        <f t="shared" si="456"/>
        <v>#NUM!</v>
      </c>
      <c r="BK512" s="63" t="e">
        <f t="shared" si="461"/>
        <v>#NUM!</v>
      </c>
      <c r="BL512" s="51">
        <f t="shared" si="457"/>
        <v>-49.55746323120016</v>
      </c>
      <c r="BM512" s="63">
        <f t="shared" si="458"/>
        <v>-107.5815074310312</v>
      </c>
    </row>
    <row r="513" spans="14:65" x14ac:dyDescent="0.3">
      <c r="N513" s="11">
        <v>95</v>
      </c>
      <c r="O513" s="52">
        <f t="shared" si="459"/>
        <v>891250.93813374708</v>
      </c>
      <c r="P513" s="50" t="str">
        <f t="shared" si="411"/>
        <v>23.3035714285714</v>
      </c>
      <c r="Q513" s="18" t="str">
        <f t="shared" si="412"/>
        <v>1+2123.96009895017i</v>
      </c>
      <c r="R513" s="18">
        <f t="shared" si="423"/>
        <v>2123.9603343594758</v>
      </c>
      <c r="S513" s="18">
        <f t="shared" si="424"/>
        <v>1.5703255081921346</v>
      </c>
      <c r="T513" s="18" t="str">
        <f t="shared" si="413"/>
        <v>1+9.91181379510081i</v>
      </c>
      <c r="U513" s="18">
        <f t="shared" si="425"/>
        <v>9.9621309321224398</v>
      </c>
      <c r="V513" s="18">
        <f t="shared" si="426"/>
        <v>1.470246853066967</v>
      </c>
      <c r="W513" s="32" t="str">
        <f t="shared" si="414"/>
        <v>1-13.6886317320915i</v>
      </c>
      <c r="X513" s="18">
        <f t="shared" si="427"/>
        <v>13.725109788151872</v>
      </c>
      <c r="Y513" s="18">
        <f t="shared" si="428"/>
        <v>-1.4978725485119408</v>
      </c>
      <c r="Z513" s="32" t="str">
        <f t="shared" si="415"/>
        <v>-2.17731293889714+6.71833378832051i</v>
      </c>
      <c r="AA513" s="18">
        <f t="shared" si="429"/>
        <v>7.0623438407640498</v>
      </c>
      <c r="AB513" s="18">
        <f t="shared" si="430"/>
        <v>1.8842006506572218</v>
      </c>
      <c r="AC513" s="68" t="str">
        <f t="shared" si="431"/>
        <v>-0.200220251871877+0.0709512850038091i</v>
      </c>
      <c r="AD513" s="66">
        <f t="shared" si="432"/>
        <v>-13.45609405595463</v>
      </c>
      <c r="AE513" s="63">
        <f t="shared" si="433"/>
        <v>160.4873951252813</v>
      </c>
      <c r="AF513" s="51" t="e">
        <f t="shared" si="434"/>
        <v>#NUM!</v>
      </c>
      <c r="AG513" s="51" t="str">
        <f t="shared" si="416"/>
        <v>1-2973.54413853025i</v>
      </c>
      <c r="AH513" s="51">
        <f t="shared" si="435"/>
        <v>2973.5443066797588</v>
      </c>
      <c r="AI513" s="51">
        <f t="shared" si="436"/>
        <v>-1.5704600277807528</v>
      </c>
      <c r="AJ513" s="51" t="str">
        <f t="shared" si="417"/>
        <v>1+9.91181379510081i</v>
      </c>
      <c r="AK513" s="51">
        <f t="shared" si="437"/>
        <v>9.9621309321224398</v>
      </c>
      <c r="AL513" s="51">
        <f t="shared" si="438"/>
        <v>1.470246853066967</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-0.000170731707317073</v>
      </c>
      <c r="AT513" s="32" t="str">
        <f t="shared" si="420"/>
        <v>0.212796002380695i</v>
      </c>
      <c r="AU513" s="32">
        <f t="shared" si="444"/>
        <v>0.21279600238069499</v>
      </c>
      <c r="AV513" s="32">
        <f t="shared" si="445"/>
        <v>1.5707963267948966</v>
      </c>
      <c r="AW513" s="32" t="str">
        <f t="shared" si="421"/>
        <v>1+45.3060962409424i</v>
      </c>
      <c r="AX513" s="32">
        <f t="shared" si="446"/>
        <v>45.317130939563413</v>
      </c>
      <c r="AY513" s="32">
        <f t="shared" si="447"/>
        <v>1.5487278252443593</v>
      </c>
      <c r="AZ513" s="32" t="str">
        <f t="shared" si="422"/>
        <v>1+860.815828577908i</v>
      </c>
      <c r="BA513" s="32">
        <f t="shared" si="448"/>
        <v>860.8164094220499</v>
      </c>
      <c r="BB513" s="32">
        <f t="shared" si="449"/>
        <v>1.5696346386416802</v>
      </c>
      <c r="BC513" s="60" t="str">
        <f t="shared" si="450"/>
        <v>-0.000318606809403068+0.0152371564968552i</v>
      </c>
      <c r="BD513" s="51">
        <f t="shared" si="451"/>
        <v>-36.340023020969682</v>
      </c>
      <c r="BE513" s="63">
        <f t="shared" si="452"/>
        <v>91.197872170734044</v>
      </c>
      <c r="BF513" s="60" t="str">
        <f t="shared" si="453"/>
        <v>-0.00101730429762924-0.00307339287414967i</v>
      </c>
      <c r="BG513" s="66">
        <f t="shared" si="454"/>
        <v>-49.79611707692429</v>
      </c>
      <c r="BH513" s="63">
        <f t="shared" si="455"/>
        <v>-108.31473270398467</v>
      </c>
      <c r="BI513" s="60" t="e">
        <f t="shared" si="460"/>
        <v>#NUM!</v>
      </c>
      <c r="BJ513" s="66" t="e">
        <f t="shared" si="456"/>
        <v>#NUM!</v>
      </c>
      <c r="BK513" s="63" t="e">
        <f t="shared" si="461"/>
        <v>#NUM!</v>
      </c>
      <c r="BL513" s="51">
        <f t="shared" si="457"/>
        <v>-49.79611707692429</v>
      </c>
      <c r="BM513" s="63">
        <f t="shared" si="458"/>
        <v>-108.31473270398467</v>
      </c>
    </row>
    <row r="514" spans="14:65" x14ac:dyDescent="0.3">
      <c r="N514" s="11">
        <v>96</v>
      </c>
      <c r="O514" s="52">
        <f t="shared" si="459"/>
        <v>912010.83935591124</v>
      </c>
      <c r="P514" s="50" t="str">
        <f t="shared" si="411"/>
        <v>23.3035714285714</v>
      </c>
      <c r="Q514" s="18" t="str">
        <f t="shared" si="412"/>
        <v>1+2173.43348513965i</v>
      </c>
      <c r="R514" s="18">
        <f t="shared" si="423"/>
        <v>2173.4337151903865</v>
      </c>
      <c r="S514" s="18">
        <f t="shared" si="424"/>
        <v>1.5703362253304292</v>
      </c>
      <c r="T514" s="18" t="str">
        <f t="shared" si="413"/>
        <v>1+10.1426895973184i</v>
      </c>
      <c r="U514" s="18">
        <f t="shared" si="425"/>
        <v>10.191866966731409</v>
      </c>
      <c r="V514" s="18">
        <f t="shared" si="426"/>
        <v>1.4725207605986697</v>
      </c>
      <c r="W514" s="32" t="str">
        <f t="shared" si="414"/>
        <v>1-14.0074809253612i</v>
      </c>
      <c r="X514" s="18">
        <f t="shared" si="427"/>
        <v>14.043130771817152</v>
      </c>
      <c r="Y514" s="18">
        <f t="shared" si="428"/>
        <v>-1.4995268160721265</v>
      </c>
      <c r="Z514" s="32" t="str">
        <f t="shared" si="415"/>
        <v>-2.3270550844107+6.87482388539139i</v>
      </c>
      <c r="AA514" s="18">
        <f t="shared" si="429"/>
        <v>7.2579879319980716</v>
      </c>
      <c r="AB514" s="18">
        <f t="shared" si="430"/>
        <v>1.8971801506071904</v>
      </c>
      <c r="AC514" s="68" t="str">
        <f t="shared" si="431"/>
        <v>-0.19840330346127+0.07308229675359i</v>
      </c>
      <c r="AD514" s="66">
        <f t="shared" si="432"/>
        <v>-13.496449410018256</v>
      </c>
      <c r="AE514" s="63">
        <f t="shared" si="433"/>
        <v>159.77861326635053</v>
      </c>
      <c r="AF514" s="51" t="e">
        <f t="shared" si="434"/>
        <v>#NUM!</v>
      </c>
      <c r="AG514" s="51" t="str">
        <f t="shared" si="416"/>
        <v>1-3042.80687919551i</v>
      </c>
      <c r="AH514" s="51">
        <f t="shared" si="435"/>
        <v>3042.8070435174691</v>
      </c>
      <c r="AI514" s="51">
        <f t="shared" si="436"/>
        <v>-1.5704676828803468</v>
      </c>
      <c r="AJ514" s="51" t="str">
        <f t="shared" si="417"/>
        <v>1+10.1426895973184i</v>
      </c>
      <c r="AK514" s="51">
        <f t="shared" si="437"/>
        <v>10.191866966731409</v>
      </c>
      <c r="AL514" s="51">
        <f t="shared" si="438"/>
        <v>1.4725207605986697</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-0.000170731707317073</v>
      </c>
      <c r="AT514" s="32" t="str">
        <f t="shared" si="420"/>
        <v>0.217752658021524i</v>
      </c>
      <c r="AU514" s="32">
        <f t="shared" si="444"/>
        <v>0.21775265802152399</v>
      </c>
      <c r="AV514" s="32">
        <f t="shared" si="445"/>
        <v>1.5707963267948966</v>
      </c>
      <c r="AW514" s="32" t="str">
        <f t="shared" si="421"/>
        <v>1+46.3614107909538i</v>
      </c>
      <c r="AX514" s="32">
        <f t="shared" si="446"/>
        <v>46.372194368258739</v>
      </c>
      <c r="AY514" s="32">
        <f t="shared" si="447"/>
        <v>1.5492300081094335</v>
      </c>
      <c r="AZ514" s="32" t="str">
        <f t="shared" si="422"/>
        <v>1+880.866805028123i</v>
      </c>
      <c r="BA514" s="32">
        <f t="shared" si="448"/>
        <v>880.86737265064676</v>
      </c>
      <c r="BB514" s="32">
        <f t="shared" si="449"/>
        <v>1.5696610818694459</v>
      </c>
      <c r="BC514" s="60" t="str">
        <f t="shared" si="450"/>
        <v>-0.000304273809269278+0.0148906256282359i</v>
      </c>
      <c r="BD514" s="51">
        <f t="shared" si="451"/>
        <v>-36.539928104179573</v>
      </c>
      <c r="BE514" s="63">
        <f t="shared" si="452"/>
        <v>91.170614297369184</v>
      </c>
      <c r="BF514" s="60" t="str">
        <f t="shared" si="453"/>
        <v>-0.00102787219209358-0.00297658634407041i</v>
      </c>
      <c r="BG514" s="66">
        <f t="shared" si="454"/>
        <v>-50.036377514197845</v>
      </c>
      <c r="BH514" s="63">
        <f t="shared" si="455"/>
        <v>-109.05077243628031</v>
      </c>
      <c r="BI514" s="60" t="e">
        <f t="shared" si="460"/>
        <v>#NUM!</v>
      </c>
      <c r="BJ514" s="66" t="e">
        <f t="shared" si="456"/>
        <v>#NUM!</v>
      </c>
      <c r="BK514" s="63" t="e">
        <f t="shared" si="461"/>
        <v>#NUM!</v>
      </c>
      <c r="BL514" s="51">
        <f t="shared" si="457"/>
        <v>-50.036377514197845</v>
      </c>
      <c r="BM514" s="63">
        <f t="shared" si="458"/>
        <v>-109.05077243628031</v>
      </c>
    </row>
    <row r="515" spans="14:65" x14ac:dyDescent="0.3">
      <c r="N515" s="11">
        <v>97</v>
      </c>
      <c r="O515" s="52">
        <f t="shared" si="459"/>
        <v>933254.30079699249</v>
      </c>
      <c r="P515" s="50" t="str">
        <f t="shared" si="411"/>
        <v>23.3035714285714</v>
      </c>
      <c r="Q515" s="18" t="str">
        <f t="shared" si="412"/>
        <v>1+2224.05925453174i</v>
      </c>
      <c r="R515" s="18">
        <f t="shared" si="423"/>
        <v>2224.0594793458827</v>
      </c>
      <c r="S515" s="18">
        <f t="shared" si="424"/>
        <v>1.5703466985169747</v>
      </c>
      <c r="T515" s="18" t="str">
        <f t="shared" si="413"/>
        <v>1+10.3789431878148i</v>
      </c>
      <c r="U515" s="18">
        <f t="shared" si="425"/>
        <v>10.427006363088461</v>
      </c>
      <c r="V515" s="18">
        <f t="shared" si="426"/>
        <v>1.4747438933174573</v>
      </c>
      <c r="W515" s="32" t="str">
        <f t="shared" si="414"/>
        <v>1-14.3337570704285i</v>
      </c>
      <c r="X515" s="18">
        <f t="shared" si="427"/>
        <v>14.368597417773909</v>
      </c>
      <c r="Y515" s="18">
        <f t="shared" si="428"/>
        <v>-1.5011438055537683</v>
      </c>
      <c r="Z515" s="32" t="str">
        <f t="shared" si="415"/>
        <v>-2.48385435982434+7.03495910508536i</v>
      </c>
      <c r="AA515" s="18">
        <f t="shared" si="429"/>
        <v>7.4605751850002671</v>
      </c>
      <c r="AB515" s="18">
        <f t="shared" si="430"/>
        <v>1.9102061887407225</v>
      </c>
      <c r="AC515" s="68" t="str">
        <f t="shared" si="431"/>
        <v>-0.196527084110481+0.0751784583887129i</v>
      </c>
      <c r="AD515" s="66">
        <f t="shared" si="432"/>
        <v>-13.538444180287604</v>
      </c>
      <c r="AE515" s="63">
        <f t="shared" si="433"/>
        <v>159.06640563740447</v>
      </c>
      <c r="AF515" s="51" t="e">
        <f t="shared" si="434"/>
        <v>#NUM!</v>
      </c>
      <c r="AG515" s="51" t="str">
        <f t="shared" si="416"/>
        <v>1-3113.68295634444i</v>
      </c>
      <c r="AH515" s="51">
        <f t="shared" si="435"/>
        <v>3113.6831169259744</v>
      </c>
      <c r="AI515" s="51">
        <f t="shared" si="436"/>
        <v>-1.5704751637286376</v>
      </c>
      <c r="AJ515" s="51" t="str">
        <f t="shared" si="417"/>
        <v>1+10.3789431878148i</v>
      </c>
      <c r="AK515" s="51">
        <f t="shared" si="437"/>
        <v>10.427006363088461</v>
      </c>
      <c r="AL515" s="51">
        <f t="shared" si="438"/>
        <v>1.4747438933174573</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-0.000170731707317073</v>
      </c>
      <c r="AT515" s="32" t="str">
        <f t="shared" si="420"/>
        <v>0.222824769003933i</v>
      </c>
      <c r="AU515" s="32">
        <f t="shared" si="444"/>
        <v>0.222824769003933</v>
      </c>
      <c r="AV515" s="32">
        <f t="shared" si="445"/>
        <v>1.5707963267948966</v>
      </c>
      <c r="AW515" s="32" t="str">
        <f t="shared" si="421"/>
        <v>1+47.4413067746324i</v>
      </c>
      <c r="AX515" s="32">
        <f t="shared" si="446"/>
        <v>47.451844942897452</v>
      </c>
      <c r="AY515" s="32">
        <f t="shared" si="447"/>
        <v>1.5497207704095528</v>
      </c>
      <c r="AZ515" s="32" t="str">
        <f t="shared" si="422"/>
        <v>1+901.384828718016i</v>
      </c>
      <c r="BA515" s="32">
        <f t="shared" si="448"/>
        <v>901.38538341988169</v>
      </c>
      <c r="BB515" s="32">
        <f t="shared" si="449"/>
        <v>1.5696869231773947</v>
      </c>
      <c r="BC515" s="60" t="str">
        <f t="shared" si="450"/>
        <v>-0.000290585313916795+0.0145519621426081i</v>
      </c>
      <c r="BD515" s="51">
        <f t="shared" si="451"/>
        <v>-36.739837457401272</v>
      </c>
      <c r="BE515" s="63">
        <f t="shared" si="452"/>
        <v>91.143976286710782</v>
      </c>
      <c r="BF515" s="60" t="str">
        <f t="shared" si="453"/>
        <v>-0.00103688619598279-0.00288170044390354i</v>
      </c>
      <c r="BG515" s="66">
        <f t="shared" si="454"/>
        <v>-50.278281637688877</v>
      </c>
      <c r="BH515" s="63">
        <f t="shared" si="455"/>
        <v>-109.78961807588473</v>
      </c>
      <c r="BI515" s="60" t="e">
        <f t="shared" si="460"/>
        <v>#NUM!</v>
      </c>
      <c r="BJ515" s="66" t="e">
        <f t="shared" si="456"/>
        <v>#NUM!</v>
      </c>
      <c r="BK515" s="63" t="e">
        <f t="shared" si="461"/>
        <v>#NUM!</v>
      </c>
      <c r="BL515" s="51">
        <f t="shared" si="457"/>
        <v>-50.278281637688877</v>
      </c>
      <c r="BM515" s="63">
        <f t="shared" si="458"/>
        <v>-109.78961807588473</v>
      </c>
    </row>
    <row r="516" spans="14:65" x14ac:dyDescent="0.3">
      <c r="N516" s="11">
        <v>98</v>
      </c>
      <c r="O516" s="52">
        <f t="shared" si="459"/>
        <v>954992.58602143743</v>
      </c>
      <c r="P516" s="50" t="str">
        <f t="shared" si="411"/>
        <v>23.3035714285714</v>
      </c>
      <c r="Q516" s="18" t="str">
        <f t="shared" si="412"/>
        <v>1+2275.86424957949i</v>
      </c>
      <c r="R516" s="18">
        <f t="shared" si="423"/>
        <v>2275.8644692762387</v>
      </c>
      <c r="S516" s="18">
        <f t="shared" si="424"/>
        <v>1.5703569333047844</v>
      </c>
      <c r="T516" s="18" t="str">
        <f t="shared" si="413"/>
        <v>1+10.6206998313709i</v>
      </c>
      <c r="U516" s="18">
        <f t="shared" si="425"/>
        <v>10.667673828350859</v>
      </c>
      <c r="V516" s="18">
        <f t="shared" si="426"/>
        <v>1.4769173420099495</v>
      </c>
      <c r="W516" s="32" t="str">
        <f t="shared" si="414"/>
        <v>1-14.6676331632241i</v>
      </c>
      <c r="X516" s="18">
        <f t="shared" si="427"/>
        <v>14.701682305468017</v>
      </c>
      <c r="Y516" s="18">
        <f t="shared" si="428"/>
        <v>-1.5027243404641462</v>
      </c>
      <c r="Z516" s="32" t="str">
        <f t="shared" si="415"/>
        <v>-2.64804335742365+7.19882435321553i</v>
      </c>
      <c r="AA516" s="18">
        <f t="shared" si="429"/>
        <v>7.6704110509961918</v>
      </c>
      <c r="AB516" s="18">
        <f t="shared" si="430"/>
        <v>1.9232784108511607</v>
      </c>
      <c r="AC516" s="68" t="str">
        <f t="shared" si="431"/>
        <v>-0.194591988358747+0.0772377450768198i</v>
      </c>
      <c r="AD516" s="66">
        <f t="shared" si="432"/>
        <v>-13.582115740796537</v>
      </c>
      <c r="AE516" s="63">
        <f t="shared" si="433"/>
        <v>158.35080752880341</v>
      </c>
      <c r="AF516" s="51" t="e">
        <f t="shared" si="434"/>
        <v>#NUM!</v>
      </c>
      <c r="AG516" s="51" t="str">
        <f t="shared" si="416"/>
        <v>1-3186.20994941129i</v>
      </c>
      <c r="AH516" s="51">
        <f t="shared" si="435"/>
        <v>3186.210106337543</v>
      </c>
      <c r="AI516" s="51">
        <f t="shared" si="436"/>
        <v>-1.5704824742920662</v>
      </c>
      <c r="AJ516" s="51" t="str">
        <f t="shared" si="417"/>
        <v>1+10.6206998313709i</v>
      </c>
      <c r="AK516" s="51">
        <f t="shared" si="437"/>
        <v>10.667673828350859</v>
      </c>
      <c r="AL516" s="51">
        <f t="shared" si="438"/>
        <v>1.4769173420099495</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-0.000170731707317073</v>
      </c>
      <c r="AT516" s="32" t="str">
        <f t="shared" si="420"/>
        <v>0.228015024628303i</v>
      </c>
      <c r="AU516" s="32">
        <f t="shared" si="444"/>
        <v>0.228015024628303</v>
      </c>
      <c r="AV516" s="32">
        <f t="shared" si="445"/>
        <v>1.5707963267948966</v>
      </c>
      <c r="AW516" s="32" t="str">
        <f t="shared" si="421"/>
        <v>1+48.5463567671227i</v>
      </c>
      <c r="AX516" s="32">
        <f t="shared" si="446"/>
        <v>48.5566551088598</v>
      </c>
      <c r="AY516" s="32">
        <f t="shared" si="447"/>
        <v>1.5502003714072508</v>
      </c>
      <c r="AZ516" s="32" t="str">
        <f t="shared" si="422"/>
        <v>1+922.380778575334i</v>
      </c>
      <c r="BA516" s="32">
        <f t="shared" si="448"/>
        <v>922.38132065065122</v>
      </c>
      <c r="BB516" s="32">
        <f t="shared" si="449"/>
        <v>1.5697121762667923</v>
      </c>
      <c r="BC516" s="60" t="str">
        <f t="shared" si="450"/>
        <v>-0.000277512367423196+0.014220988331597i</v>
      </c>
      <c r="BD516" s="51">
        <f t="shared" si="451"/>
        <v>-36.939750888624118</v>
      </c>
      <c r="BE516" s="63">
        <f t="shared" si="452"/>
        <v>91.117944069134552</v>
      </c>
      <c r="BF516" s="60" t="str">
        <f t="shared" si="453"/>
        <v>-0.0010443953881253-0.0027887248253627i</v>
      </c>
      <c r="BG516" s="66">
        <f t="shared" si="454"/>
        <v>-50.521866629420636</v>
      </c>
      <c r="BH516" s="63">
        <f t="shared" si="455"/>
        <v>-110.53124840206212</v>
      </c>
      <c r="BI516" s="60" t="e">
        <f t="shared" si="460"/>
        <v>#NUM!</v>
      </c>
      <c r="BJ516" s="66" t="e">
        <f t="shared" si="456"/>
        <v>#NUM!</v>
      </c>
      <c r="BK516" s="63" t="e">
        <f t="shared" si="461"/>
        <v>#NUM!</v>
      </c>
      <c r="BL516" s="51">
        <f t="shared" si="457"/>
        <v>-50.521866629420636</v>
      </c>
      <c r="BM516" s="63">
        <f t="shared" si="458"/>
        <v>-110.53124840206212</v>
      </c>
    </row>
    <row r="517" spans="14:65" x14ac:dyDescent="0.3">
      <c r="N517" s="11">
        <v>99</v>
      </c>
      <c r="O517" s="52">
        <f t="shared" si="459"/>
        <v>977237.22095581202</v>
      </c>
      <c r="P517" s="50" t="str">
        <f t="shared" si="411"/>
        <v>23.3035714285714</v>
      </c>
      <c r="Q517" s="18" t="str">
        <f t="shared" si="412"/>
        <v>1+2328.87593797699i</v>
      </c>
      <c r="R517" s="18">
        <f t="shared" si="423"/>
        <v>2328.8761526728304</v>
      </c>
      <c r="S517" s="18">
        <f t="shared" si="424"/>
        <v>1.5703669351204694</v>
      </c>
      <c r="T517" s="18" t="str">
        <f t="shared" si="413"/>
        <v>1+10.8680877105593i</v>
      </c>
      <c r="U517" s="18">
        <f t="shared" si="425"/>
        <v>10.913996998552367</v>
      </c>
      <c r="V517" s="18">
        <f t="shared" si="426"/>
        <v>1.4790421768852946</v>
      </c>
      <c r="W517" s="32" t="str">
        <f t="shared" si="414"/>
        <v>1-15.0092862292721i</v>
      </c>
      <c r="X517" s="18">
        <f t="shared" si="427"/>
        <v>15.042562052795962</v>
      </c>
      <c r="Y517" s="18">
        <f t="shared" si="428"/>
        <v>-1.5042692272194851</v>
      </c>
      <c r="Z517" s="32" t="str">
        <f t="shared" si="415"/>
        <v>-2.81997034408576+7.36650651330549i</v>
      </c>
      <c r="AA517" s="18">
        <f t="shared" si="429"/>
        <v>7.8878166150142821</v>
      </c>
      <c r="AB517" s="18">
        <f t="shared" si="430"/>
        <v>1.9363962395490915</v>
      </c>
      <c r="AC517" s="68" t="str">
        <f t="shared" si="431"/>
        <v>-0.192598520625621+0.079258092874606i</v>
      </c>
      <c r="AD517" s="66">
        <f t="shared" si="432"/>
        <v>-13.627501449941487</v>
      </c>
      <c r="AE517" s="63">
        <f t="shared" si="433"/>
        <v>157.63186682582298</v>
      </c>
      <c r="AF517" s="51" t="e">
        <f t="shared" si="434"/>
        <v>#NUM!</v>
      </c>
      <c r="AG517" s="51" t="str">
        <f t="shared" si="416"/>
        <v>1-3260.42631316779i</v>
      </c>
      <c r="AH517" s="51">
        <f t="shared" si="435"/>
        <v>3260.4264665219653</v>
      </c>
      <c r="AI517" s="51">
        <f t="shared" si="436"/>
        <v>-1.5704896184467874</v>
      </c>
      <c r="AJ517" s="51" t="str">
        <f t="shared" si="417"/>
        <v>1+10.8680877105593i</v>
      </c>
      <c r="AK517" s="51">
        <f t="shared" si="437"/>
        <v>10.913996998552367</v>
      </c>
      <c r="AL517" s="51">
        <f t="shared" si="438"/>
        <v>1.4790421768852946</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-0.000170731707317073</v>
      </c>
      <c r="AT517" s="32" t="str">
        <f t="shared" si="420"/>
        <v>0.233326176836866i</v>
      </c>
      <c r="AU517" s="32">
        <f t="shared" si="444"/>
        <v>0.23332617683686599</v>
      </c>
      <c r="AV517" s="32">
        <f t="shared" si="445"/>
        <v>1.5707963267948966</v>
      </c>
      <c r="AW517" s="32" t="str">
        <f t="shared" si="421"/>
        <v>1+49.6771466805581i</v>
      </c>
      <c r="AX517" s="32">
        <f t="shared" si="446"/>
        <v>49.687210651451196</v>
      </c>
      <c r="AY517" s="32">
        <f t="shared" si="447"/>
        <v>1.5506690645102876</v>
      </c>
      <c r="AZ517" s="32" t="str">
        <f t="shared" si="422"/>
        <v>1+943.865786930605i</v>
      </c>
      <c r="BA517" s="32">
        <f t="shared" si="448"/>
        <v>943.86631666678852</v>
      </c>
      <c r="BB517" s="32">
        <f t="shared" si="449"/>
        <v>1.5697368545270316</v>
      </c>
      <c r="BC517" s="60" t="str">
        <f t="shared" si="450"/>
        <v>-0.000265027312563897+0.0138975304403273i</v>
      </c>
      <c r="BD517" s="51">
        <f t="shared" si="451"/>
        <v>-37.139668214463846</v>
      </c>
      <c r="BE517" s="63">
        <f t="shared" si="452"/>
        <v>91.092503892601115</v>
      </c>
      <c r="BF517" s="60" t="str">
        <f t="shared" si="453"/>
        <v>-0.00105044789004193-0.00269764936251007i</v>
      </c>
      <c r="BG517" s="66">
        <f t="shared" si="454"/>
        <v>-50.767169664405344</v>
      </c>
      <c r="BH517" s="63">
        <f t="shared" si="455"/>
        <v>-111.27562928157582</v>
      </c>
      <c r="BI517" s="60" t="e">
        <f t="shared" si="460"/>
        <v>#NUM!</v>
      </c>
      <c r="BJ517" s="66" t="e">
        <f t="shared" si="456"/>
        <v>#NUM!</v>
      </c>
      <c r="BK517" s="63" t="e">
        <f t="shared" si="461"/>
        <v>#NUM!</v>
      </c>
      <c r="BL517" s="51">
        <f t="shared" si="457"/>
        <v>-50.767169664405344</v>
      </c>
      <c r="BM517" s="63">
        <f t="shared" si="458"/>
        <v>-111.27562928157582</v>
      </c>
    </row>
    <row r="518" spans="14:65" x14ac:dyDescent="0.3">
      <c r="N518" s="11">
        <v>100</v>
      </c>
      <c r="O518" s="52">
        <f t="shared" si="459"/>
        <v>1000000</v>
      </c>
      <c r="P518" s="50" t="str">
        <f t="shared" si="411"/>
        <v>23.3035714285714</v>
      </c>
      <c r="Q518" s="18" t="str">
        <f t="shared" si="412"/>
        <v>1+2383.12242722312i</v>
      </c>
      <c r="R518" s="18">
        <f t="shared" si="423"/>
        <v>2383.1226370318873</v>
      </c>
      <c r="S518" s="18">
        <f t="shared" si="424"/>
        <v>1.5703767092671173</v>
      </c>
      <c r="T518" s="18" t="str">
        <f t="shared" si="413"/>
        <v>1+11.1212379937079i</v>
      </c>
      <c r="U518" s="18">
        <f t="shared" si="425"/>
        <v>11.166106506418974</v>
      </c>
      <c r="V518" s="18">
        <f t="shared" si="426"/>
        <v>1.4811194477689784</v>
      </c>
      <c r="W518" s="32" t="str">
        <f t="shared" si="414"/>
        <v>1-15.3588974175501i</v>
      </c>
      <c r="X518" s="18">
        <f t="shared" si="427"/>
        <v>15.391417409804308</v>
      </c>
      <c r="Y518" s="18">
        <f t="shared" si="428"/>
        <v>-1.5057792554254545</v>
      </c>
      <c r="Z518" s="32" t="str">
        <f t="shared" si="415"/>
        <v>-3.00000000000001+7.53809449265603i</v>
      </c>
      <c r="AA518" s="18">
        <f t="shared" si="429"/>
        <v>8.1131293950122121</v>
      </c>
      <c r="AB518" s="18">
        <f t="shared" si="430"/>
        <v>1.949558870439978</v>
      </c>
      <c r="AC518" s="68" t="str">
        <f t="shared" si="431"/>
        <v>-0.190547300767564+0.0812374052265081i</v>
      </c>
      <c r="AD518" s="66">
        <f t="shared" si="432"/>
        <v>-13.674638552178308</v>
      </c>
      <c r="AE518" s="63">
        <f t="shared" si="433"/>
        <v>156.90964422252819</v>
      </c>
      <c r="AF518" s="51" t="e">
        <f t="shared" si="434"/>
        <v>#NUM!</v>
      </c>
      <c r="AG518" s="51" t="str">
        <f t="shared" si="416"/>
        <v>1-3336.37139811237i</v>
      </c>
      <c r="AH518" s="51">
        <f t="shared" si="435"/>
        <v>3336.3715479757784</v>
      </c>
      <c r="AI518" s="51">
        <f t="shared" si="436"/>
        <v>-1.5704965999807234</v>
      </c>
      <c r="AJ518" s="51" t="str">
        <f t="shared" si="417"/>
        <v>1+11.1212379937079i</v>
      </c>
      <c r="AK518" s="51">
        <f t="shared" si="437"/>
        <v>11.166106506418974</v>
      </c>
      <c r="AL518" s="51">
        <f t="shared" si="438"/>
        <v>1.4811194477689784</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-0.000170731707317073</v>
      </c>
      <c r="AT518" s="32" t="str">
        <f t="shared" si="420"/>
        <v>0.238761041672824i</v>
      </c>
      <c r="AU518" s="32">
        <f t="shared" si="444"/>
        <v>0.238761041672824</v>
      </c>
      <c r="AV518" s="32">
        <f t="shared" si="445"/>
        <v>1.5707963267948966</v>
      </c>
      <c r="AW518" s="32" t="str">
        <f t="shared" si="421"/>
        <v>1+50.8342760747182i</v>
      </c>
      <c r="AX518" s="32">
        <f t="shared" si="446"/>
        <v>50.844111006493826</v>
      </c>
      <c r="AY518" s="32">
        <f t="shared" si="447"/>
        <v>1.5511270974018034</v>
      </c>
      <c r="AZ518" s="32" t="str">
        <f t="shared" si="422"/>
        <v>1+965.851245419647i</v>
      </c>
      <c r="BA518" s="32">
        <f t="shared" si="448"/>
        <v>965.85176309756935</v>
      </c>
      <c r="BB518" s="32">
        <f t="shared" si="449"/>
        <v>1.5697609710427332</v>
      </c>
      <c r="BC518" s="60" t="str">
        <f t="shared" si="450"/>
        <v>-0.000253103732759426+0.0135814185835299i</v>
      </c>
      <c r="BD518" s="51">
        <f t="shared" si="451"/>
        <v>-37.339589259776382</v>
      </c>
      <c r="BE518" s="63">
        <f t="shared" si="452"/>
        <v>91.06764231560534</v>
      </c>
      <c r="BF518" s="60" t="str">
        <f t="shared" si="453"/>
        <v>-0.00105509097192954-0.00260846414218857i</v>
      </c>
      <c r="BG518" s="66">
        <f t="shared" si="454"/>
        <v>-51.014227811954704</v>
      </c>
      <c r="BH518" s="63">
        <f t="shared" si="455"/>
        <v>-112.02271346186645</v>
      </c>
      <c r="BI518" s="60" t="e">
        <f t="shared" si="460"/>
        <v>#NUM!</v>
      </c>
      <c r="BJ518" s="66" t="e">
        <f t="shared" si="456"/>
        <v>#NUM!</v>
      </c>
      <c r="BK518" s="63" t="e">
        <f t="shared" si="461"/>
        <v>#NUM!</v>
      </c>
      <c r="BL518" s="51">
        <f t="shared" si="457"/>
        <v>-51.014227811954704</v>
      </c>
      <c r="BM518" s="63">
        <f t="shared" si="458"/>
        <v>-112.02271346186645</v>
      </c>
    </row>
    <row r="519" spans="14:65" x14ac:dyDescent="0.3">
      <c r="N519" s="11">
        <v>1</v>
      </c>
      <c r="O519" s="52">
        <f>10^(6+(N519/100))</f>
        <v>1023292.9922807553</v>
      </c>
      <c r="P519" s="50" t="str">
        <f t="shared" si="411"/>
        <v>23.3035714285714</v>
      </c>
      <c r="Q519" s="18" t="str">
        <f t="shared" si="412"/>
        <v>1+2438.63247952452i</v>
      </c>
      <c r="R519" s="18">
        <f t="shared" si="423"/>
        <v>2438.6326845574567</v>
      </c>
      <c r="S519" s="18">
        <f t="shared" si="424"/>
        <v>1.570386260927102</v>
      </c>
      <c r="T519" s="18" t="str">
        <f t="shared" si="413"/>
        <v>1+11.3802849044478i</v>
      </c>
      <c r="U519" s="18">
        <f t="shared" si="425"/>
        <v>11.424136050765609</v>
      </c>
      <c r="V519" s="18">
        <f t="shared" si="426"/>
        <v>1.4831501843095787</v>
      </c>
      <c r="W519" s="32" t="str">
        <f t="shared" si="414"/>
        <v>1-15.716652096538i</v>
      </c>
      <c r="X519" s="18">
        <f t="shared" si="427"/>
        <v>15.74843335457887</v>
      </c>
      <c r="Y519" s="18">
        <f t="shared" si="428"/>
        <v>-1.507255198158336</v>
      </c>
      <c r="Z519" s="32" t="str">
        <f t="shared" si="415"/>
        <v>-3.18851419220362+7.71367926948507i</v>
      </c>
      <c r="AA519" s="18">
        <f t="shared" si="429"/>
        <v>8.3467041774803317</v>
      </c>
      <c r="AB519" s="18">
        <f t="shared" si="430"/>
        <v>1.9627652690130313</v>
      </c>
      <c r="AC519" s="68" t="str">
        <f t="shared" si="431"/>
        <v>-0.188439069236295+0.0831735600930059i</v>
      </c>
      <c r="AD519" s="66">
        <f t="shared" si="432"/>
        <v>-13.723564075680128</v>
      </c>
      <c r="AE519" s="63">
        <f t="shared" si="433"/>
        <v>156.18421339560248</v>
      </c>
      <c r="AF519" s="51" t="e">
        <f t="shared" si="434"/>
        <v>#NUM!</v>
      </c>
      <c r="AG519" s="51" t="str">
        <f t="shared" si="416"/>
        <v>1-3414.08547133434i</v>
      </c>
      <c r="AH519" s="51">
        <f t="shared" si="435"/>
        <v>3414.0856177864403</v>
      </c>
      <c r="AI519" s="51">
        <f t="shared" si="436"/>
        <v>-1.5705034225955734</v>
      </c>
      <c r="AJ519" s="51" t="str">
        <f t="shared" si="417"/>
        <v>1+11.3802849044478i</v>
      </c>
      <c r="AK519" s="51">
        <f t="shared" si="437"/>
        <v>11.424136050765609</v>
      </c>
      <c r="AL519" s="51">
        <f t="shared" si="438"/>
        <v>1.4831501843095787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-0.000170731707317073</v>
      </c>
      <c r="AT519" s="32" t="str">
        <f t="shared" si="420"/>
        <v>0.244322500773454i</v>
      </c>
      <c r="AU519" s="32">
        <f t="shared" si="444"/>
        <v>0.24432250077345399</v>
      </c>
      <c r="AV519" s="32">
        <f t="shared" si="445"/>
        <v>1.5707963267948966</v>
      </c>
      <c r="AW519" s="32" t="str">
        <f t="shared" si="421"/>
        <v>1+52.0183584749244i</v>
      </c>
      <c r="AX519" s="32">
        <f t="shared" si="446"/>
        <v>52.027969578158043</v>
      </c>
      <c r="AY519" s="32">
        <f t="shared" si="447"/>
        <v>1.5515747121677184</v>
      </c>
      <c r="AZ519" s="32" t="str">
        <f t="shared" si="422"/>
        <v>1+988.348811023565i</v>
      </c>
      <c r="BA519" s="32">
        <f t="shared" si="448"/>
        <v>988.34931691770532</v>
      </c>
      <c r="BB519" s="32">
        <f t="shared" si="449"/>
        <v>1.5697845386006801</v>
      </c>
      <c r="BC519" s="60" t="str">
        <f t="shared" si="450"/>
        <v>-0.000241716396600561+0.0132724866631545i</v>
      </c>
      <c r="BD519" s="51">
        <f t="shared" si="451"/>
        <v>-37.539513857287879</v>
      </c>
      <c r="BE519" s="63">
        <f t="shared" si="452"/>
        <v>91.043346200274485</v>
      </c>
      <c r="BF519" s="60" t="str">
        <f t="shared" si="453"/>
        <v>-0.00105837115426694-0.00252115944649409i</v>
      </c>
      <c r="BG519" s="66">
        <f t="shared" si="454"/>
        <v>-51.263077932968024</v>
      </c>
      <c r="BH519" s="63">
        <f t="shared" si="455"/>
        <v>-112.77244040412306</v>
      </c>
      <c r="BI519" s="60" t="e">
        <f t="shared" si="460"/>
        <v>#NUM!</v>
      </c>
      <c r="BJ519" s="66" t="e">
        <f t="shared" si="456"/>
        <v>#NUM!</v>
      </c>
      <c r="BK519" s="63" t="e">
        <f t="shared" si="461"/>
        <v>#NUM!</v>
      </c>
      <c r="BL519" s="51">
        <f t="shared" si="457"/>
        <v>-51.263077932968024</v>
      </c>
      <c r="BM519" s="63">
        <f t="shared" si="458"/>
        <v>-112.77244040412306</v>
      </c>
    </row>
    <row r="520" spans="14:65" x14ac:dyDescent="0.3">
      <c r="N520" s="11">
        <v>2</v>
      </c>
      <c r="O520" s="52">
        <f t="shared" ref="O520:O560" si="462">10^(6+(N520/100))</f>
        <v>1047128.5480509007</v>
      </c>
      <c r="P520" s="50" t="str">
        <f t="shared" si="411"/>
        <v>23.3035714285714</v>
      </c>
      <c r="Q520" s="18" t="str">
        <f t="shared" si="412"/>
        <v>1+2495.43552704568i</v>
      </c>
      <c r="R520" s="18">
        <f t="shared" si="423"/>
        <v>2495.4357274114973</v>
      </c>
      <c r="S520" s="18">
        <f t="shared" si="424"/>
        <v>1.5703955951648332</v>
      </c>
      <c r="T520" s="18" t="str">
        <f t="shared" si="413"/>
        <v>1+11.6453657928798i</v>
      </c>
      <c r="U520" s="18">
        <f t="shared" si="425"/>
        <v>11.688222467508691</v>
      </c>
      <c r="V520" s="18">
        <f t="shared" si="426"/>
        <v>1.4851353961970939</v>
      </c>
      <c r="W520" s="32" t="str">
        <f t="shared" si="414"/>
        <v>1-16.082739952502i</v>
      </c>
      <c r="X520" s="18">
        <f t="shared" si="427"/>
        <v>16.113799191370234</v>
      </c>
      <c r="Y520" s="18">
        <f t="shared" si="428"/>
        <v>-1.5086978122463746</v>
      </c>
      <c r="Z520" s="32" t="str">
        <f t="shared" si="415"/>
        <v>-3.38591278457276+7.89335394116539i</v>
      </c>
      <c r="AA520" s="18">
        <f t="shared" si="429"/>
        <v>8.588913890897059</v>
      </c>
      <c r="AB520" s="18">
        <f t="shared" si="430"/>
        <v>1.976014168290088</v>
      </c>
      <c r="AC520" s="68" t="str">
        <f t="shared" si="431"/>
        <v>-0.186274691769505+0.0850644176881473i</v>
      </c>
      <c r="AD520" s="66">
        <f t="shared" si="432"/>
        <v>-13.774314726316742</v>
      </c>
      <c r="AE520" s="63">
        <f t="shared" si="433"/>
        <v>155.45566113528926</v>
      </c>
      <c r="AF520" s="51" t="e">
        <f t="shared" si="434"/>
        <v>#NUM!</v>
      </c>
      <c r="AG520" s="51" t="str">
        <f t="shared" si="416"/>
        <v>1-3493.60973786396i</v>
      </c>
      <c r="AH520" s="51">
        <f t="shared" si="435"/>
        <v>3493.6098809824048</v>
      </c>
      <c r="AI520" s="51">
        <f t="shared" si="436"/>
        <v>-1.5705100899087752</v>
      </c>
      <c r="AJ520" s="51" t="str">
        <f t="shared" si="417"/>
        <v>1+11.6453657928798i</v>
      </c>
      <c r="AK520" s="51">
        <f t="shared" si="437"/>
        <v>11.688222467508691</v>
      </c>
      <c r="AL520" s="51">
        <f t="shared" si="438"/>
        <v>1.4851353961970939</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-0.000170731707317073</v>
      </c>
      <c r="AT520" s="32" t="str">
        <f t="shared" si="420"/>
        <v>0.250013502897985i</v>
      </c>
      <c r="AU520" s="32">
        <f t="shared" si="444"/>
        <v>0.25001350289798502</v>
      </c>
      <c r="AV520" s="32">
        <f t="shared" si="445"/>
        <v>1.5707963267948966</v>
      </c>
      <c r="AW520" s="32" t="str">
        <f t="shared" si="421"/>
        <v>1+53.2300216973382i</v>
      </c>
      <c r="AX520" s="32">
        <f t="shared" si="446"/>
        <v>53.239414064197732</v>
      </c>
      <c r="AY520" s="32">
        <f t="shared" si="447"/>
        <v>1.5520121454214253</v>
      </c>
      <c r="AZ520" s="32" t="str">
        <f t="shared" si="422"/>
        <v>1+1011.37041224943i</v>
      </c>
      <c r="BA520" s="32">
        <f t="shared" si="448"/>
        <v>1011.3709066280194</v>
      </c>
      <c r="BB520" s="32">
        <f t="shared" si="449"/>
        <v>1.569807569696599</v>
      </c>
      <c r="BC520" s="60" t="str">
        <f t="shared" si="450"/>
        <v>-0.00023084120483832+0.0129705722874787i</v>
      </c>
      <c r="BD520" s="51">
        <f t="shared" si="451"/>
        <v>-37.739441847241451</v>
      </c>
      <c r="BE520" s="63">
        <f t="shared" si="452"/>
        <v>91.019602705612101</v>
      </c>
      <c r="BF520" s="60" t="str">
        <f t="shared" si="453"/>
        <v>-0.00106033430443744-0.00243572572759218i</v>
      </c>
      <c r="BG520" s="66">
        <f t="shared" si="454"/>
        <v>-51.513756573558197</v>
      </c>
      <c r="BH520" s="63">
        <f t="shared" si="455"/>
        <v>-113.52473615909867</v>
      </c>
      <c r="BI520" s="60" t="e">
        <f t="shared" si="460"/>
        <v>#NUM!</v>
      </c>
      <c r="BJ520" s="66" t="e">
        <f t="shared" si="456"/>
        <v>#NUM!</v>
      </c>
      <c r="BK520" s="63" t="e">
        <f t="shared" si="461"/>
        <v>#NUM!</v>
      </c>
      <c r="BL520" s="51">
        <f t="shared" si="457"/>
        <v>-51.513756573558197</v>
      </c>
      <c r="BM520" s="63">
        <f t="shared" si="458"/>
        <v>-113.52473615909867</v>
      </c>
    </row>
    <row r="521" spans="14:65" x14ac:dyDescent="0.3">
      <c r="N521" s="11">
        <v>3</v>
      </c>
      <c r="O521" s="52">
        <f t="shared" si="462"/>
        <v>1071519.3052376076</v>
      </c>
      <c r="P521" s="50" t="str">
        <f t="shared" si="411"/>
        <v>23.3035714285714</v>
      </c>
      <c r="Q521" s="18" t="str">
        <f t="shared" si="412"/>
        <v>1+2553.56168751427i</v>
      </c>
      <c r="R521" s="18">
        <f t="shared" si="423"/>
        <v>2553.5618833192057</v>
      </c>
      <c r="S521" s="18">
        <f t="shared" si="424"/>
        <v>1.5704047169294408</v>
      </c>
      <c r="T521" s="18" t="str">
        <f t="shared" si="413"/>
        <v>1+11.9166212083999i</v>
      </c>
      <c r="U521" s="18">
        <f t="shared" si="425"/>
        <v>11.958505802335267</v>
      </c>
      <c r="V521" s="18">
        <f t="shared" si="426"/>
        <v>1.4870760733916093</v>
      </c>
      <c r="W521" s="32" t="str">
        <f t="shared" si="414"/>
        <v>1-16.457355090069i</v>
      </c>
      <c r="X521" s="18">
        <f t="shared" si="427"/>
        <v>16.487708651010912</v>
      </c>
      <c r="Y521" s="18">
        <f t="shared" si="428"/>
        <v>-1.5101078385509044</v>
      </c>
      <c r="Z521" s="32" t="str">
        <f t="shared" si="415"/>
        <v>-3.59261448598754+8.07721377358622i</v>
      </c>
      <c r="AA521" s="18">
        <f t="shared" si="429"/>
        <v>8.8401505184662135</v>
      </c>
      <c r="AB521" s="18">
        <f t="shared" si="430"/>
        <v>1.989304067281447</v>
      </c>
      <c r="AC521" s="68" t="str">
        <f t="shared" si="431"/>
        <v>-0.18405516354457+0.0869078287980632i</v>
      </c>
      <c r="AD521" s="66">
        <f t="shared" si="432"/>
        <v>-13.826926778362004</v>
      </c>
      <c r="AE521" s="63">
        <f t="shared" si="433"/>
        <v>154.72408743070656</v>
      </c>
      <c r="AF521" s="51" t="e">
        <f t="shared" si="434"/>
        <v>#NUM!</v>
      </c>
      <c r="AG521" s="51" t="str">
        <f t="shared" si="416"/>
        <v>1-3574.98636251999i</v>
      </c>
      <c r="AH521" s="51">
        <f t="shared" si="435"/>
        <v>3574.986502380661</v>
      </c>
      <c r="AI521" s="51">
        <f t="shared" si="436"/>
        <v>-1.5705166054554245</v>
      </c>
      <c r="AJ521" s="51" t="str">
        <f t="shared" si="417"/>
        <v>1+11.9166212083999i</v>
      </c>
      <c r="AK521" s="51">
        <f t="shared" si="437"/>
        <v>11.958505802335267</v>
      </c>
      <c r="AL521" s="51">
        <f t="shared" si="438"/>
        <v>1.4870760733916093</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-0.000170731707317073</v>
      </c>
      <c r="AT521" s="32" t="str">
        <f t="shared" si="420"/>
        <v>0.255837065491072i</v>
      </c>
      <c r="AU521" s="32">
        <f t="shared" si="444"/>
        <v>0.25583706549107199</v>
      </c>
      <c r="AV521" s="32">
        <f t="shared" si="445"/>
        <v>1.5707963267948966</v>
      </c>
      <c r="AW521" s="32" t="str">
        <f t="shared" si="421"/>
        <v>1+54.4699081818387i</v>
      </c>
      <c r="AX521" s="32">
        <f t="shared" si="446"/>
        <v>54.479086788766374</v>
      </c>
      <c r="AY521" s="32">
        <f t="shared" si="447"/>
        <v>1.5524396284258264</v>
      </c>
      <c r="AZ521" s="32" t="str">
        <f t="shared" si="422"/>
        <v>1+1034.92825545494i</v>
      </c>
      <c r="BA521" s="32">
        <f t="shared" si="448"/>
        <v>1034.928738580104</v>
      </c>
      <c r="BB521" s="32">
        <f t="shared" si="449"/>
        <v>1.5698300765417839</v>
      </c>
      <c r="BC521" s="60" t="str">
        <f t="shared" si="450"/>
        <v>-0.000220455139730695+0.0126755166917043i</v>
      </c>
      <c r="BD521" s="51">
        <f t="shared" si="451"/>
        <v>-37.939373077060139</v>
      </c>
      <c r="BE521" s="63">
        <f t="shared" si="452"/>
        <v>90.996399280885612</v>
      </c>
      <c r="BF521" s="60" t="str">
        <f t="shared" si="453"/>
        <v>-0.00106102572777226-0.00235215357524493i</v>
      </c>
      <c r="BG521" s="66">
        <f t="shared" si="454"/>
        <v>-51.766299855422133</v>
      </c>
      <c r="BH521" s="63">
        <f t="shared" si="455"/>
        <v>-114.27951328840791</v>
      </c>
      <c r="BI521" s="60" t="e">
        <f t="shared" si="460"/>
        <v>#NUM!</v>
      </c>
      <c r="BJ521" s="66" t="e">
        <f t="shared" si="456"/>
        <v>#NUM!</v>
      </c>
      <c r="BK521" s="63" t="e">
        <f t="shared" si="461"/>
        <v>#NUM!</v>
      </c>
      <c r="BL521" s="51">
        <f t="shared" si="457"/>
        <v>-51.766299855422133</v>
      </c>
      <c r="BM521" s="63">
        <f t="shared" si="458"/>
        <v>-114.27951328840791</v>
      </c>
    </row>
    <row r="522" spans="14:65" x14ac:dyDescent="0.3">
      <c r="N522" s="11">
        <v>4</v>
      </c>
      <c r="O522" s="52">
        <f t="shared" si="462"/>
        <v>1096478.196143186</v>
      </c>
      <c r="P522" s="50" t="str">
        <f t="shared" si="411"/>
        <v>23.3035714285714</v>
      </c>
      <c r="Q522" s="18" t="str">
        <f t="shared" si="412"/>
        <v>1+2613.04178018997i</v>
      </c>
      <c r="R522" s="18">
        <f t="shared" si="423"/>
        <v>2613.0419715378407</v>
      </c>
      <c r="S522" s="18">
        <f t="shared" si="424"/>
        <v>1.5704136310573993</v>
      </c>
      <c r="T522" s="18" t="str">
        <f t="shared" si="413"/>
        <v>1+12.1941949742199i</v>
      </c>
      <c r="U522" s="18">
        <f t="shared" si="425"/>
        <v>12.235129385065362</v>
      </c>
      <c r="V522" s="18">
        <f t="shared" si="426"/>
        <v>1.4889731863611084</v>
      </c>
      <c r="W522" s="32" t="str">
        <f t="shared" si="414"/>
        <v>1-16.8406961351436i</v>
      </c>
      <c r="X522" s="18">
        <f t="shared" si="427"/>
        <v>16.870359993676502</v>
      </c>
      <c r="Y522" s="18">
        <f t="shared" si="428"/>
        <v>-1.5114860022468515</v>
      </c>
      <c r="Z522" s="32" t="str">
        <f t="shared" si="415"/>
        <v>-3.80905773846967+8.26535625166436i</v>
      </c>
      <c r="AA522" s="18">
        <f t="shared" si="429"/>
        <v>9.1008260516242565</v>
      </c>
      <c r="AB522" s="18">
        <f t="shared" si="430"/>
        <v>2.0026332302929828</v>
      </c>
      <c r="AC522" s="68" t="str">
        <f t="shared" si="431"/>
        <v>-0.181781612726699+0.0887016436439886i</v>
      </c>
      <c r="AD522" s="66">
        <f t="shared" si="432"/>
        <v>-13.881435962390427</v>
      </c>
      <c r="AE522" s="63">
        <f t="shared" si="433"/>
        <v>153.98960550694952</v>
      </c>
      <c r="AF522" s="51" t="e">
        <f t="shared" si="434"/>
        <v>#NUM!</v>
      </c>
      <c r="AG522" s="51" t="str">
        <f t="shared" si="416"/>
        <v>1-3658.25849226597i</v>
      </c>
      <c r="AH522" s="51">
        <f t="shared" si="435"/>
        <v>3658.2586289430228</v>
      </c>
      <c r="AI522" s="51">
        <f t="shared" si="436"/>
        <v>-1.570522972690148</v>
      </c>
      <c r="AJ522" s="51" t="str">
        <f t="shared" si="417"/>
        <v>1+12.1941949742199i</v>
      </c>
      <c r="AK522" s="51">
        <f t="shared" si="437"/>
        <v>12.235129385065362</v>
      </c>
      <c r="AL522" s="51">
        <f t="shared" si="438"/>
        <v>1.4889731863611084</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-0.000170731707317073</v>
      </c>
      <c r="AT522" s="32" t="str">
        <f t="shared" si="420"/>
        <v>0.261796276282686i</v>
      </c>
      <c r="AU522" s="32">
        <f t="shared" si="444"/>
        <v>0.26179627628268598</v>
      </c>
      <c r="AV522" s="32">
        <f t="shared" si="445"/>
        <v>1.5707963267948966</v>
      </c>
      <c r="AW522" s="32" t="str">
        <f t="shared" si="421"/>
        <v>1+55.7386753326516i</v>
      </c>
      <c r="AX522" s="32">
        <f t="shared" si="446"/>
        <v>55.747645042985852</v>
      </c>
      <c r="AY522" s="32">
        <f t="shared" si="447"/>
        <v>1.5528573872127587</v>
      </c>
      <c r="AZ522" s="32" t="str">
        <f t="shared" si="422"/>
        <v>1+1059.03483132038i</v>
      </c>
      <c r="BA522" s="32">
        <f t="shared" si="448"/>
        <v>1059.0353034482775</v>
      </c>
      <c r="BB522" s="32">
        <f t="shared" si="449"/>
        <v>1.5698520710695709</v>
      </c>
      <c r="BC522" s="60" t="str">
        <f t="shared" si="450"/>
        <v>-0.000210536216642583+0.0123871646600313i</v>
      </c>
      <c r="BD522" s="51">
        <f t="shared" si="451"/>
        <v>-38.139307401024723</v>
      </c>
      <c r="BE522" s="63">
        <f t="shared" si="452"/>
        <v>90.973723659154459</v>
      </c>
      <c r="BF522" s="60" t="str">
        <f t="shared" si="453"/>
        <v>-0.00106049025243484-0.00227043367747445i</v>
      </c>
      <c r="BG522" s="66">
        <f t="shared" si="454"/>
        <v>-52.020743363415136</v>
      </c>
      <c r="BH522" s="63">
        <f t="shared" si="455"/>
        <v>-115.036670833896</v>
      </c>
      <c r="BI522" s="60" t="e">
        <f t="shared" si="460"/>
        <v>#NUM!</v>
      </c>
      <c r="BJ522" s="66" t="e">
        <f t="shared" si="456"/>
        <v>#NUM!</v>
      </c>
      <c r="BK522" s="63" t="e">
        <f t="shared" si="461"/>
        <v>#NUM!</v>
      </c>
      <c r="BL522" s="51">
        <f t="shared" si="457"/>
        <v>-52.020743363415136</v>
      </c>
      <c r="BM522" s="63">
        <f t="shared" si="458"/>
        <v>-115.036670833896</v>
      </c>
    </row>
    <row r="523" spans="14:65" x14ac:dyDescent="0.3">
      <c r="N523" s="11">
        <v>5</v>
      </c>
      <c r="O523" s="52">
        <f t="shared" si="462"/>
        <v>1122018.4543019643</v>
      </c>
      <c r="P523" s="50" t="str">
        <f t="shared" si="411"/>
        <v>23.3035714285714</v>
      </c>
      <c r="Q523" s="18" t="str">
        <f t="shared" si="412"/>
        <v>1+2673.90734220522i</v>
      </c>
      <c r="R523" s="18">
        <f t="shared" si="423"/>
        <v>2673.9075291974818</v>
      </c>
      <c r="S523" s="18">
        <f t="shared" si="424"/>
        <v>1.5704223422750914</v>
      </c>
      <c r="T523" s="18" t="str">
        <f t="shared" si="413"/>
        <v>1+12.4782342636244i</v>
      </c>
      <c r="U523" s="18">
        <f t="shared" si="425"/>
        <v>12.518239905749128</v>
      </c>
      <c r="V523" s="18">
        <f t="shared" si="426"/>
        <v>1.490827686327354</v>
      </c>
      <c r="W523" s="32" t="str">
        <f t="shared" si="414"/>
        <v>1-17.232966340222i</v>
      </c>
      <c r="X523" s="18">
        <f t="shared" si="427"/>
        <v>17.261956114045255</v>
      </c>
      <c r="Y523" s="18">
        <f t="shared" si="428"/>
        <v>-1.51283301310226</v>
      </c>
      <c r="Z523" s="32" t="str">
        <f t="shared" si="415"/>
        <v>-4.03570164717668+8.45788113103206i</v>
      </c>
      <c r="AA523" s="18">
        <f t="shared" si="429"/>
        <v>9.3713734858713611</v>
      </c>
      <c r="AB523" s="18">
        <f t="shared" si="430"/>
        <v>2.0159996871255146</v>
      </c>
      <c r="AC523" s="68" t="str">
        <f t="shared" si="431"/>
        <v>-0.179455303344903+0.0904437212449177i</v>
      </c>
      <c r="AD523" s="66">
        <f t="shared" si="432"/>
        <v>-13.937877350872164</v>
      </c>
      <c r="AE523" s="63">
        <f t="shared" si="433"/>
        <v>153.25234181159331</v>
      </c>
      <c r="AF523" s="51" t="e">
        <f t="shared" si="434"/>
        <v>#NUM!</v>
      </c>
      <c r="AG523" s="51" t="str">
        <f t="shared" si="416"/>
        <v>1-3743.47027908732i</v>
      </c>
      <c r="AH523" s="51">
        <f t="shared" si="435"/>
        <v>3743.4704126532233</v>
      </c>
      <c r="AI523" s="51">
        <f t="shared" si="436"/>
        <v>-1.5705291949889357</v>
      </c>
      <c r="AJ523" s="51" t="str">
        <f t="shared" si="417"/>
        <v>1+12.4782342636244i</v>
      </c>
      <c r="AK523" s="51">
        <f t="shared" si="437"/>
        <v>12.518239905749128</v>
      </c>
      <c r="AL523" s="51">
        <f t="shared" si="438"/>
        <v>1.490827686327354</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-0.000170731707317073</v>
      </c>
      <c r="AT523" s="32" t="str">
        <f t="shared" si="420"/>
        <v>0.267894294925269i</v>
      </c>
      <c r="AU523" s="32">
        <f t="shared" si="444"/>
        <v>0.26789429492526901</v>
      </c>
      <c r="AV523" s="32">
        <f t="shared" si="445"/>
        <v>1.5707963267948966</v>
      </c>
      <c r="AW523" s="32" t="str">
        <f t="shared" si="421"/>
        <v>1+57.0369958669146i</v>
      </c>
      <c r="AX523" s="32">
        <f t="shared" si="446"/>
        <v>57.045761433452995</v>
      </c>
      <c r="AY523" s="32">
        <f t="shared" si="447"/>
        <v>1.5532656426998599</v>
      </c>
      <c r="AZ523" s="32" t="str">
        <f t="shared" si="422"/>
        <v>1+1083.70292147138i</v>
      </c>
      <c r="BA523" s="32">
        <f t="shared" si="448"/>
        <v>1083.7033828523395</v>
      </c>
      <c r="BB523" s="32">
        <f t="shared" si="449"/>
        <v>1.5698735649416644</v>
      </c>
      <c r="BC523" s="60" t="str">
        <f t="shared" si="450"/>
        <v>-0.000201063437799901+0.0121053644491984i</v>
      </c>
      <c r="BD523" s="51">
        <f t="shared" si="451"/>
        <v>-38.339244679965468</v>
      </c>
      <c r="BE523" s="63">
        <f t="shared" si="452"/>
        <v>90.95156385093685</v>
      </c>
      <c r="BF523" s="60" t="str">
        <f t="shared" si="453"/>
        <v>-0.00105877230758949-0.00219055677485242i</v>
      </c>
      <c r="BG523" s="66">
        <f t="shared" si="454"/>
        <v>-52.277122030837631</v>
      </c>
      <c r="BH523" s="63">
        <f t="shared" si="455"/>
        <v>-115.79609433746992</v>
      </c>
      <c r="BI523" s="60" t="e">
        <f t="shared" si="460"/>
        <v>#NUM!</v>
      </c>
      <c r="BJ523" s="66" t="e">
        <f t="shared" si="456"/>
        <v>#NUM!</v>
      </c>
      <c r="BK523" s="63" t="e">
        <f t="shared" si="461"/>
        <v>#NUM!</v>
      </c>
      <c r="BL523" s="51">
        <f t="shared" si="457"/>
        <v>-52.277122030837631</v>
      </c>
      <c r="BM523" s="63">
        <f t="shared" si="458"/>
        <v>-115.79609433746992</v>
      </c>
    </row>
    <row r="524" spans="14:65" x14ac:dyDescent="0.3">
      <c r="N524" s="11">
        <v>6</v>
      </c>
      <c r="O524" s="52">
        <f t="shared" si="462"/>
        <v>1148153.6214968837</v>
      </c>
      <c r="P524" s="50" t="str">
        <f t="shared" si="411"/>
        <v>23.3035714285714</v>
      </c>
      <c r="Q524" s="18" t="str">
        <f t="shared" si="412"/>
        <v>1+2736.19064528666i</v>
      </c>
      <c r="R524" s="18">
        <f t="shared" si="423"/>
        <v>2736.1908280224593</v>
      </c>
      <c r="S524" s="18">
        <f t="shared" si="424"/>
        <v>1.5704308552013146</v>
      </c>
      <c r="T524" s="18" t="str">
        <f t="shared" si="413"/>
        <v>1+12.7688896780044i</v>
      </c>
      <c r="U524" s="18">
        <f t="shared" si="425"/>
        <v>12.807987492539464</v>
      </c>
      <c r="V524" s="18">
        <f t="shared" si="426"/>
        <v>1.4926405055188137</v>
      </c>
      <c r="W524" s="32" t="str">
        <f t="shared" si="414"/>
        <v>1-17.6343736921593i</v>
      </c>
      <c r="X524" s="18">
        <f t="shared" si="427"/>
        <v>17.662704648912634</v>
      </c>
      <c r="Y524" s="18">
        <f t="shared" si="428"/>
        <v>-1.514149565756516</v>
      </c>
      <c r="Z524" s="32" t="str">
        <f t="shared" si="415"/>
        <v>-4.27302695422564+8.65489049092873i</v>
      </c>
      <c r="AA524" s="18">
        <f t="shared" si="429"/>
        <v>9.6522478605507942</v>
      </c>
      <c r="AB524" s="18">
        <f t="shared" si="430"/>
        <v>2.0294012342033576</v>
      </c>
      <c r="AC524" s="68" t="str">
        <f t="shared" si="431"/>
        <v>-0.177077637432124+0.0921319392265924i</v>
      </c>
      <c r="AD524" s="66">
        <f t="shared" si="432"/>
        <v>-13.996285242025152</v>
      </c>
      <c r="AE524" s="63">
        <f t="shared" si="433"/>
        <v>152.51243594843851</v>
      </c>
      <c r="AF524" s="51" t="e">
        <f t="shared" si="434"/>
        <v>#NUM!</v>
      </c>
      <c r="AG524" s="51" t="str">
        <f t="shared" si="416"/>
        <v>1-3830.66690340134i</v>
      </c>
      <c r="AH524" s="51">
        <f t="shared" si="435"/>
        <v>3830.6670339269126</v>
      </c>
      <c r="AI524" s="51">
        <f t="shared" si="436"/>
        <v>-1.570535275650931</v>
      </c>
      <c r="AJ524" s="51" t="str">
        <f t="shared" si="417"/>
        <v>1+12.7688896780044i</v>
      </c>
      <c r="AK524" s="51">
        <f t="shared" si="437"/>
        <v>12.807987492539464</v>
      </c>
      <c r="AL524" s="51">
        <f t="shared" si="438"/>
        <v>1.4926405055188137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-0.000170731707317073</v>
      </c>
      <c r="AT524" s="32" t="str">
        <f t="shared" si="420"/>
        <v>0.274134354669022i</v>
      </c>
      <c r="AU524" s="32">
        <f t="shared" si="444"/>
        <v>0.27413435466902197</v>
      </c>
      <c r="AV524" s="32">
        <f t="shared" si="445"/>
        <v>1.5707963267948966</v>
      </c>
      <c r="AW524" s="32" t="str">
        <f t="shared" si="421"/>
        <v>1+58.36555817136i</v>
      </c>
      <c r="AX524" s="32">
        <f t="shared" si="446"/>
        <v>58.374124238864674</v>
      </c>
      <c r="AY524" s="32">
        <f t="shared" si="447"/>
        <v>1.553664610804921</v>
      </c>
      <c r="AZ524" s="32" t="str">
        <f t="shared" si="422"/>
        <v>1+1108.94560525584i</v>
      </c>
      <c r="BA524" s="32">
        <f t="shared" si="448"/>
        <v>1108.9460561344908</v>
      </c>
      <c r="BB524" s="32">
        <f t="shared" si="449"/>
        <v>1.5698945695543205</v>
      </c>
      <c r="BC524" s="60" t="str">
        <f t="shared" si="450"/>
        <v>-0.000192016748102954+0.0118299677134747i</v>
      </c>
      <c r="BD524" s="51">
        <f t="shared" si="451"/>
        <v>-38.539184780968625</v>
      </c>
      <c r="BE524" s="63">
        <f t="shared" si="452"/>
        <v>90.92990813801201</v>
      </c>
      <c r="BF524" s="60" t="str">
        <f t="shared" si="453"/>
        <v>-0.00105591599432893-0.00211251360896712i</v>
      </c>
      <c r="BG524" s="66">
        <f t="shared" si="454"/>
        <v>-52.535470022993763</v>
      </c>
      <c r="BH524" s="63">
        <f t="shared" si="455"/>
        <v>-116.55765591354941</v>
      </c>
      <c r="BI524" s="60" t="e">
        <f t="shared" si="460"/>
        <v>#NUM!</v>
      </c>
      <c r="BJ524" s="66" t="e">
        <f t="shared" si="456"/>
        <v>#NUM!</v>
      </c>
      <c r="BK524" s="63" t="e">
        <f t="shared" si="461"/>
        <v>#NUM!</v>
      </c>
      <c r="BL524" s="51">
        <f t="shared" si="457"/>
        <v>-52.535470022993763</v>
      </c>
      <c r="BM524" s="63">
        <f t="shared" si="458"/>
        <v>-116.55765591354941</v>
      </c>
    </row>
    <row r="525" spans="14:65" x14ac:dyDescent="0.3">
      <c r="N525" s="11">
        <v>7</v>
      </c>
      <c r="O525" s="52">
        <f t="shared" si="462"/>
        <v>1174897.5549395324</v>
      </c>
      <c r="P525" s="50" t="str">
        <f t="shared" si="411"/>
        <v>23.3035714285714</v>
      </c>
      <c r="Q525" s="18" t="str">
        <f t="shared" si="412"/>
        <v>1+2799.924712866i</v>
      </c>
      <c r="R525" s="18">
        <f t="shared" si="423"/>
        <v>2799.9248914422242</v>
      </c>
      <c r="S525" s="18">
        <f t="shared" si="424"/>
        <v>1.5704391743497306</v>
      </c>
      <c r="T525" s="18" t="str">
        <f t="shared" si="413"/>
        <v>1+13.066315326708i</v>
      </c>
      <c r="U525" s="18">
        <f t="shared" si="425"/>
        <v>13.104525791380793</v>
      </c>
      <c r="V525" s="18">
        <f t="shared" si="426"/>
        <v>1.4944125574296854</v>
      </c>
      <c r="W525" s="32" t="str">
        <f t="shared" si="414"/>
        <v>1-18.0451310224467i</v>
      </c>
      <c r="X525" s="18">
        <f t="shared" si="427"/>
        <v>18.072818087317437</v>
      </c>
      <c r="Y525" s="18">
        <f t="shared" si="428"/>
        <v>-1.5154363399969732</v>
      </c>
      <c r="Z525" s="32" t="str">
        <f t="shared" si="415"/>
        <v>-4.52153705841158+8.85648878832472i</v>
      </c>
      <c r="AA525" s="18">
        <f t="shared" si="429"/>
        <v>9.9439273442795564</v>
      </c>
      <c r="AB525" s="18">
        <f t="shared" si="430"/>
        <v>2.0428354366640331</v>
      </c>
      <c r="AC525" s="68" t="str">
        <f t="shared" si="431"/>
        <v>-0.174650156369998+0.0937642040151473i</v>
      </c>
      <c r="AD525" s="66">
        <f t="shared" si="432"/>
        <v>-14.056693042528998</v>
      </c>
      <c r="AE525" s="63">
        <f t="shared" si="433"/>
        <v>151.77004055663085</v>
      </c>
      <c r="AF525" s="51" t="e">
        <f t="shared" si="434"/>
        <v>#NUM!</v>
      </c>
      <c r="AG525" s="51" t="str">
        <f t="shared" si="416"/>
        <v>1-3919.89459801241i</v>
      </c>
      <c r="AH525" s="51">
        <f t="shared" si="435"/>
        <v>3919.8947255668577</v>
      </c>
      <c r="AI525" s="51">
        <f t="shared" si="436"/>
        <v>-1.5705412179001794</v>
      </c>
      <c r="AJ525" s="51" t="str">
        <f t="shared" si="417"/>
        <v>1+13.066315326708i</v>
      </c>
      <c r="AK525" s="51">
        <f t="shared" si="437"/>
        <v>13.104525791380793</v>
      </c>
      <c r="AL525" s="51">
        <f t="shared" si="438"/>
        <v>1.4944125574296854</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-0.000170731707317073</v>
      </c>
      <c r="AT525" s="32" t="str">
        <f t="shared" si="420"/>
        <v>0.280519764076217i</v>
      </c>
      <c r="AU525" s="32">
        <f t="shared" si="444"/>
        <v>0.28051976407621698</v>
      </c>
      <c r="AV525" s="32">
        <f t="shared" si="445"/>
        <v>1.5707963267948966</v>
      </c>
      <c r="AW525" s="32" t="str">
        <f t="shared" si="421"/>
        <v>1+59.7250666673075i</v>
      </c>
      <c r="AX525" s="32">
        <f t="shared" si="446"/>
        <v>59.733437774954197</v>
      </c>
      <c r="AY525" s="32">
        <f t="shared" si="447"/>
        <v>1.5540545025577732</v>
      </c>
      <c r="AZ525" s="32" t="str">
        <f t="shared" si="422"/>
        <v>1+1134.77626667884i</v>
      </c>
      <c r="BA525" s="32">
        <f t="shared" si="448"/>
        <v>1134.7767072942438</v>
      </c>
      <c r="BB525" s="32">
        <f t="shared" si="449"/>
        <v>1.5699150960443886</v>
      </c>
      <c r="BC525" s="60" t="str">
        <f t="shared" si="450"/>
        <v>-0.000183376992908408+0.0115608294310915i</v>
      </c>
      <c r="BD525" s="51">
        <f t="shared" si="451"/>
        <v>-38.739127577095246</v>
      </c>
      <c r="BE525" s="63">
        <f t="shared" si="452"/>
        <v>90.908745067355738</v>
      </c>
      <c r="BF525" s="60" t="str">
        <f t="shared" si="453"/>
        <v>-0.00105196514887507-0.00203629486568175i</v>
      </c>
      <c r="BG525" s="66">
        <f t="shared" si="454"/>
        <v>-52.795820619624251</v>
      </c>
      <c r="BH525" s="63">
        <f t="shared" si="455"/>
        <v>-117.32121437601347</v>
      </c>
      <c r="BI525" s="60" t="e">
        <f t="shared" si="460"/>
        <v>#NUM!</v>
      </c>
      <c r="BJ525" s="66" t="e">
        <f t="shared" si="456"/>
        <v>#NUM!</v>
      </c>
      <c r="BK525" s="63" t="e">
        <f t="shared" si="461"/>
        <v>#NUM!</v>
      </c>
      <c r="BL525" s="51">
        <f t="shared" si="457"/>
        <v>-52.795820619624251</v>
      </c>
      <c r="BM525" s="63">
        <f t="shared" si="458"/>
        <v>-117.32121437601347</v>
      </c>
    </row>
    <row r="526" spans="14:65" x14ac:dyDescent="0.3">
      <c r="N526" s="11">
        <v>8</v>
      </c>
      <c r="O526" s="52">
        <f t="shared" si="462"/>
        <v>1202264.4346174158</v>
      </c>
      <c r="P526" s="50" t="str">
        <f t="shared" si="411"/>
        <v>23.3035714285714</v>
      </c>
      <c r="Q526" s="18" t="str">
        <f t="shared" si="412"/>
        <v>1+2865.14333758948i</v>
      </c>
      <c r="R526" s="18">
        <f t="shared" si="423"/>
        <v>2865.1435121008135</v>
      </c>
      <c r="S526" s="18">
        <f t="shared" si="424"/>
        <v>1.5704473041312572</v>
      </c>
      <c r="T526" s="18" t="str">
        <f t="shared" si="413"/>
        <v>1+13.3706689087509i</v>
      </c>
      <c r="U526" s="18">
        <f t="shared" si="425"/>
        <v>13.408012047557163</v>
      </c>
      <c r="V526" s="18">
        <f t="shared" si="426"/>
        <v>1.4961447370841474</v>
      </c>
      <c r="W526" s="32" t="str">
        <f t="shared" si="414"/>
        <v>1-18.4654561200578i</v>
      </c>
      <c r="X526" s="18">
        <f t="shared" si="427"/>
        <v>18.492513883238811</v>
      </c>
      <c r="Y526" s="18">
        <f t="shared" si="428"/>
        <v>-1.5166940010337129</v>
      </c>
      <c r="Z526" s="32" t="str">
        <f t="shared" si="415"/>
        <v>-4.78175908298375+9.06278291330576i</v>
      </c>
      <c r="AA526" s="18">
        <f t="shared" si="429"/>
        <v>10.246914367818462</v>
      </c>
      <c r="AB526" s="18">
        <f t="shared" si="430"/>
        <v>2.0562996314355679</v>
      </c>
      <c r="AC526" s="68" t="str">
        <f t="shared" si="431"/>
        <v>-0.172174541384+0.0953384613456641i</v>
      </c>
      <c r="AD526" s="66">
        <f t="shared" si="432"/>
        <v>-14.119133149747594</v>
      </c>
      <c r="AE526" s="63">
        <f t="shared" si="433"/>
        <v>151.0253211336057</v>
      </c>
      <c r="AF526" s="51" t="e">
        <f t="shared" si="434"/>
        <v>#NUM!</v>
      </c>
      <c r="AG526" s="51" t="str">
        <f t="shared" si="416"/>
        <v>1-4011.20067262528i</v>
      </c>
      <c r="AH526" s="51">
        <f t="shared" si="435"/>
        <v>4011.200797276234</v>
      </c>
      <c r="AI526" s="51">
        <f t="shared" si="436"/>
        <v>-1.5705470248873388</v>
      </c>
      <c r="AJ526" s="51" t="str">
        <f t="shared" si="417"/>
        <v>1+13.3706689087509i</v>
      </c>
      <c r="AK526" s="51">
        <f t="shared" si="437"/>
        <v>13.408012047557163</v>
      </c>
      <c r="AL526" s="51">
        <f t="shared" si="438"/>
        <v>1.4961447370841474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-0.000170731707317073</v>
      </c>
      <c r="AT526" s="32" t="str">
        <f t="shared" si="420"/>
        <v>0.287053908775443i</v>
      </c>
      <c r="AU526" s="32">
        <f t="shared" si="444"/>
        <v>0.28705390877544301</v>
      </c>
      <c r="AV526" s="32">
        <f t="shared" si="445"/>
        <v>1.5707963267948966</v>
      </c>
      <c r="AW526" s="32" t="str">
        <f t="shared" si="421"/>
        <v>1+61.1162421841566i</v>
      </c>
      <c r="AX526" s="32">
        <f t="shared" si="446"/>
        <v>61.124422767928728</v>
      </c>
      <c r="AY526" s="32">
        <f t="shared" si="447"/>
        <v>1.5544355242097556</v>
      </c>
      <c r="AZ526" s="32" t="str">
        <f t="shared" si="422"/>
        <v>1+1161.20860149898i</v>
      </c>
      <c r="BA526" s="32">
        <f t="shared" si="448"/>
        <v>1161.2090320847565</v>
      </c>
      <c r="BB526" s="32">
        <f t="shared" si="449"/>
        <v>1.5699351552952163</v>
      </c>
      <c r="BC526" s="60" t="str">
        <f t="shared" si="450"/>
        <v>-0.000175125877692997+0.0112978078320975i</v>
      </c>
      <c r="BD526" s="51">
        <f t="shared" si="451"/>
        <v>-38.939072947112862</v>
      </c>
      <c r="BE526" s="63">
        <f t="shared" si="452"/>
        <v>90.888063445206654</v>
      </c>
      <c r="BF526" s="60" t="str">
        <f t="shared" si="453"/>
        <v>-0.00104696339761491-0.00196189111385701i</v>
      </c>
      <c r="BG526" s="66">
        <f t="shared" si="454"/>
        <v>-53.058206096860452</v>
      </c>
      <c r="BH526" s="63">
        <f t="shared" si="455"/>
        <v>-118.08661542118772</v>
      </c>
      <c r="BI526" s="60" t="e">
        <f t="shared" si="460"/>
        <v>#NUM!</v>
      </c>
      <c r="BJ526" s="66" t="e">
        <f t="shared" si="456"/>
        <v>#NUM!</v>
      </c>
      <c r="BK526" s="63" t="e">
        <f t="shared" si="461"/>
        <v>#NUM!</v>
      </c>
      <c r="BL526" s="51">
        <f t="shared" si="457"/>
        <v>-53.058206096860452</v>
      </c>
      <c r="BM526" s="63">
        <f t="shared" si="458"/>
        <v>-118.08661542118772</v>
      </c>
    </row>
    <row r="527" spans="14:65" x14ac:dyDescent="0.3">
      <c r="N527" s="11">
        <v>9</v>
      </c>
      <c r="O527" s="52">
        <f t="shared" si="462"/>
        <v>1230268.770812382</v>
      </c>
      <c r="P527" s="50" t="str">
        <f t="shared" si="411"/>
        <v>23.3035714285714</v>
      </c>
      <c r="Q527" s="18" t="str">
        <f t="shared" si="412"/>
        <v>1+2931.8810992352i</v>
      </c>
      <c r="R527" s="18">
        <f t="shared" si="423"/>
        <v>2931.881269774171</v>
      </c>
      <c r="S527" s="18">
        <f t="shared" si="424"/>
        <v>1.5704552488564076</v>
      </c>
      <c r="T527" s="18" t="str">
        <f t="shared" si="413"/>
        <v>1+13.682111796431i</v>
      </c>
      <c r="U527" s="18">
        <f t="shared" si="425"/>
        <v>13.718607189144105</v>
      </c>
      <c r="V527" s="18">
        <f t="shared" si="426"/>
        <v>1.497837921305021</v>
      </c>
      <c r="W527" s="32" t="str">
        <f t="shared" si="414"/>
        <v>1-18.8955718469228i</v>
      </c>
      <c r="X527" s="18">
        <f t="shared" si="427"/>
        <v>18.922014570922975</v>
      </c>
      <c r="Y527" s="18">
        <f t="shared" si="428"/>
        <v>-1.5179231997721936</v>
      </c>
      <c r="Z527" s="32" t="str">
        <f t="shared" si="415"/>
        <v>-5.05424499374485+9.27388224574752i</v>
      </c>
      <c r="AA527" s="18">
        <f t="shared" si="429"/>
        <v>10.561736806263729</v>
      </c>
      <c r="AB527" s="18">
        <f t="shared" si="430"/>
        <v>2.0697909313215019</v>
      </c>
      <c r="AC527" s="68" t="str">
        <f t="shared" si="431"/>
        <v>-0.169652613141158+0.0968527070082244i</v>
      </c>
      <c r="AD527" s="66">
        <f t="shared" si="432"/>
        <v>-14.183636834145455</v>
      </c>
      <c r="AE527" s="63">
        <f t="shared" si="433"/>
        <v>150.27845580067236</v>
      </c>
      <c r="AF527" s="51" t="e">
        <f t="shared" si="434"/>
        <v>#NUM!</v>
      </c>
      <c r="AG527" s="51" t="str">
        <f t="shared" si="416"/>
        <v>1-4104.63353892929i</v>
      </c>
      <c r="AH527" s="51">
        <f t="shared" si="435"/>
        <v>4104.6336607428429</v>
      </c>
      <c r="AI527" s="51">
        <f t="shared" si="436"/>
        <v>-1.5705526996913486</v>
      </c>
      <c r="AJ527" s="51" t="str">
        <f t="shared" si="417"/>
        <v>1+13.682111796431i</v>
      </c>
      <c r="AK527" s="51">
        <f t="shared" si="437"/>
        <v>13.718607189144105</v>
      </c>
      <c r="AL527" s="51">
        <f t="shared" si="438"/>
        <v>1.497837921305021</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-0.000170731707317073</v>
      </c>
      <c r="AT527" s="32" t="str">
        <f t="shared" si="420"/>
        <v>0.293740253256709i</v>
      </c>
      <c r="AU527" s="32">
        <f t="shared" si="444"/>
        <v>0.29374025325670899</v>
      </c>
      <c r="AV527" s="32">
        <f t="shared" si="445"/>
        <v>1.5707963267948966</v>
      </c>
      <c r="AW527" s="32" t="str">
        <f t="shared" si="421"/>
        <v>1+62.5398223415808i</v>
      </c>
      <c r="AX527" s="32">
        <f t="shared" si="446"/>
        <v>62.547816736609512</v>
      </c>
      <c r="AY527" s="32">
        <f t="shared" si="447"/>
        <v>1.5548078773408116</v>
      </c>
      <c r="AZ527" s="32" t="str">
        <f t="shared" si="422"/>
        <v>1+1188.25662449004i</v>
      </c>
      <c r="BA527" s="32">
        <f t="shared" si="448"/>
        <v>1188.257045274491</v>
      </c>
      <c r="BB527" s="32">
        <f t="shared" si="449"/>
        <v>1.5699547579424193</v>
      </c>
      <c r="BC527" s="60" t="str">
        <f t="shared" si="450"/>
        <v>-0.000167245929515866+0.0110407643276215i</v>
      </c>
      <c r="BD527" s="51">
        <f t="shared" si="451"/>
        <v>-39.1390207752397</v>
      </c>
      <c r="BE527" s="63">
        <f t="shared" si="452"/>
        <v>90.867852331260707</v>
      </c>
      <c r="BF527" s="60" t="str">
        <f t="shared" si="453"/>
        <v>-0.00104095420359039-0.00188929274026639i</v>
      </c>
      <c r="BG527" s="66">
        <f t="shared" si="454"/>
        <v>-53.322657609385146</v>
      </c>
      <c r="BH527" s="63">
        <f t="shared" si="455"/>
        <v>-118.85369186806683</v>
      </c>
      <c r="BI527" s="60" t="e">
        <f t="shared" si="460"/>
        <v>#NUM!</v>
      </c>
      <c r="BJ527" s="66" t="e">
        <f t="shared" si="456"/>
        <v>#NUM!</v>
      </c>
      <c r="BK527" s="63" t="e">
        <f t="shared" si="461"/>
        <v>#NUM!</v>
      </c>
      <c r="BL527" s="51">
        <f t="shared" si="457"/>
        <v>-53.322657609385146</v>
      </c>
      <c r="BM527" s="63">
        <f t="shared" si="458"/>
        <v>-118.85369186806683</v>
      </c>
    </row>
    <row r="528" spans="14:65" x14ac:dyDescent="0.3">
      <c r="N528" s="11">
        <v>10</v>
      </c>
      <c r="O528" s="52">
        <f t="shared" si="462"/>
        <v>1258925.4117941677</v>
      </c>
      <c r="P528" s="50" t="str">
        <f t="shared" si="411"/>
        <v>23.3035714285714</v>
      </c>
      <c r="Q528" s="18" t="str">
        <f t="shared" si="412"/>
        <v>1+3000.17338304777i</v>
      </c>
      <c r="R528" s="18">
        <f t="shared" si="423"/>
        <v>3000.1735497048007</v>
      </c>
      <c r="S528" s="18">
        <f t="shared" si="424"/>
        <v>1.5704630127375765</v>
      </c>
      <c r="T528" s="18" t="str">
        <f t="shared" si="413"/>
        <v>1+14.0008091208896i</v>
      </c>
      <c r="U528" s="18">
        <f t="shared" si="425"/>
        <v>14.036475912407125</v>
      </c>
      <c r="V528" s="18">
        <f t="shared" si="426"/>
        <v>1.4994929689860887</v>
      </c>
      <c r="W528" s="32" t="str">
        <f t="shared" si="414"/>
        <v>1-19.3357062560936i</v>
      </c>
      <c r="X528" s="18">
        <f t="shared" si="427"/>
        <v>19.361547882902784</v>
      </c>
      <c r="Y528" s="18">
        <f t="shared" si="428"/>
        <v>-1.5191245730835723</v>
      </c>
      <c r="Z528" s="32" t="str">
        <f t="shared" si="415"/>
        <v>-5.33957276984447+9.48989871331033i</v>
      </c>
      <c r="AA528" s="18">
        <f t="shared" si="429"/>
        <v>10.888949212543588</v>
      </c>
      <c r="AB528" s="18">
        <f t="shared" si="430"/>
        <v>2.083306230106647</v>
      </c>
      <c r="AC528" s="68" t="str">
        <f t="shared" si="431"/>
        <v>-0.167086330410088+0.0983049977469876i</v>
      </c>
      <c r="AD528" s="66">
        <f t="shared" si="432"/>
        <v>-14.250234122616074</v>
      </c>
      <c r="AE528" s="63">
        <f t="shared" si="433"/>
        <v>149.52963501045809</v>
      </c>
      <c r="AF528" s="51" t="e">
        <f t="shared" si="434"/>
        <v>#NUM!</v>
      </c>
      <c r="AG528" s="51" t="str">
        <f t="shared" si="416"/>
        <v>1-4200.24273626689i</v>
      </c>
      <c r="AH528" s="51">
        <f t="shared" si="435"/>
        <v>4200.242855307627</v>
      </c>
      <c r="AI528" s="51">
        <f t="shared" si="436"/>
        <v>-1.5705582453210638</v>
      </c>
      <c r="AJ528" s="51" t="str">
        <f t="shared" si="417"/>
        <v>1+14.0008091208896i</v>
      </c>
      <c r="AK528" s="51">
        <f t="shared" si="437"/>
        <v>14.036475912407125</v>
      </c>
      <c r="AL528" s="51">
        <f t="shared" si="438"/>
        <v>1.4994929689860887</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-0.000170731707317073</v>
      </c>
      <c r="AT528" s="32" t="str">
        <f t="shared" si="420"/>
        <v>0.300582342708365i</v>
      </c>
      <c r="AU528" s="32">
        <f t="shared" si="444"/>
        <v>0.30058234270836498</v>
      </c>
      <c r="AV528" s="32">
        <f t="shared" si="445"/>
        <v>1.5707963267948966</v>
      </c>
      <c r="AW528" s="32" t="str">
        <f t="shared" si="421"/>
        <v>1+63.9965619406229i</v>
      </c>
      <c r="AX528" s="32">
        <f t="shared" si="446"/>
        <v>64.004374383474627</v>
      </c>
      <c r="AY528" s="32">
        <f t="shared" si="447"/>
        <v>1.555171758964258</v>
      </c>
      <c r="AZ528" s="32" t="str">
        <f t="shared" si="422"/>
        <v>1+1215.93467687184i</v>
      </c>
      <c r="BA528" s="32">
        <f t="shared" si="448"/>
        <v>1215.935088078071</v>
      </c>
      <c r="BB528" s="32">
        <f t="shared" si="449"/>
        <v>1.5699739143795204</v>
      </c>
      <c r="BC528" s="60" t="str">
        <f t="shared" si="450"/>
        <v>-0.000159720460200109+0.0107895634405279i</v>
      </c>
      <c r="BD528" s="51">
        <f t="shared" si="451"/>
        <v>-39.338970950899359</v>
      </c>
      <c r="BE528" s="63">
        <f t="shared" si="452"/>
        <v>90.848101032991252</v>
      </c>
      <c r="BF528" s="60" t="str">
        <f t="shared" si="453"/>
        <v>-0.00103398090412583-0.00181848988148477i</v>
      </c>
      <c r="BG528" s="66">
        <f t="shared" si="454"/>
        <v>-53.58920507351543</v>
      </c>
      <c r="BH528" s="63">
        <f t="shared" si="455"/>
        <v>-119.62226395655068</v>
      </c>
      <c r="BI528" s="60" t="e">
        <f t="shared" si="460"/>
        <v>#NUM!</v>
      </c>
      <c r="BJ528" s="66" t="e">
        <f t="shared" si="456"/>
        <v>#NUM!</v>
      </c>
      <c r="BK528" s="63" t="e">
        <f t="shared" si="461"/>
        <v>#NUM!</v>
      </c>
      <c r="BL528" s="51">
        <f t="shared" si="457"/>
        <v>-53.58920507351543</v>
      </c>
      <c r="BM528" s="63">
        <f t="shared" si="458"/>
        <v>-119.62226395655068</v>
      </c>
    </row>
    <row r="529" spans="14:65" x14ac:dyDescent="0.3">
      <c r="N529" s="11">
        <v>11</v>
      </c>
      <c r="O529" s="52">
        <f t="shared" si="462"/>
        <v>1288249.5516931366</v>
      </c>
      <c r="P529" s="50" t="str">
        <f t="shared" si="411"/>
        <v>23.3035714285714</v>
      </c>
      <c r="Q529" s="18" t="str">
        <f t="shared" si="412"/>
        <v>1+3070.05639850004i</v>
      </c>
      <c r="R529" s="18">
        <f t="shared" si="423"/>
        <v>3070.0565613634935</v>
      </c>
      <c r="S529" s="18">
        <f t="shared" si="424"/>
        <v>1.5704705998912727</v>
      </c>
      <c r="T529" s="18" t="str">
        <f t="shared" si="413"/>
        <v>1+14.3269298596668i</v>
      </c>
      <c r="U529" s="18">
        <f t="shared" si="425"/>
        <v>14.361786769194568</v>
      </c>
      <c r="V529" s="18">
        <f t="shared" si="426"/>
        <v>1.5011107213673744</v>
      </c>
      <c r="W529" s="32" t="str">
        <f t="shared" si="414"/>
        <v>1-19.7860927126598i</v>
      </c>
      <c r="X529" s="18">
        <f t="shared" si="427"/>
        <v>19.811346870770027</v>
      </c>
      <c r="Y529" s="18">
        <f t="shared" si="428"/>
        <v>-1.5202987440724958</v>
      </c>
      <c r="Z529" s="32" t="str">
        <f t="shared" si="415"/>
        <v>-5.63834762975027+9.71094685078462i</v>
      </c>
      <c r="AA529" s="18">
        <f t="shared" si="429"/>
        <v>11.229134104314287</v>
      </c>
      <c r="AB529" s="18">
        <f t="shared" si="430"/>
        <v>2.0968422086891358</v>
      </c>
      <c r="AC529" s="68" t="str">
        <f t="shared" si="431"/>
        <v>-0.16447778775177+0.0996934622215513i</v>
      </c>
      <c r="AD529" s="66">
        <f t="shared" si="432"/>
        <v>-14.318953683466255</v>
      </c>
      <c r="AE529" s="63">
        <f t="shared" si="433"/>
        <v>148.77906119586959</v>
      </c>
      <c r="AF529" s="51" t="e">
        <f t="shared" si="434"/>
        <v>#NUM!</v>
      </c>
      <c r="AG529" s="51" t="str">
        <f t="shared" si="416"/>
        <v>1-4298.07895790006i</v>
      </c>
      <c r="AH529" s="51">
        <f t="shared" si="435"/>
        <v>4298.0790742310992</v>
      </c>
      <c r="AI529" s="51">
        <f t="shared" si="436"/>
        <v>-1.5705636647168495</v>
      </c>
      <c r="AJ529" s="51" t="str">
        <f t="shared" si="417"/>
        <v>1+14.3269298596668i</v>
      </c>
      <c r="AK529" s="51">
        <f t="shared" si="437"/>
        <v>14.361786769194568</v>
      </c>
      <c r="AL529" s="51">
        <f t="shared" si="438"/>
        <v>1.5011107213673744</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-0.000170731707317073</v>
      </c>
      <c r="AT529" s="32" t="str">
        <f t="shared" si="420"/>
        <v>0.307583804896802i</v>
      </c>
      <c r="AU529" s="32">
        <f t="shared" si="444"/>
        <v>0.30758380489680198</v>
      </c>
      <c r="AV529" s="32">
        <f t="shared" si="445"/>
        <v>1.5707963267948966</v>
      </c>
      <c r="AW529" s="32" t="str">
        <f t="shared" si="421"/>
        <v>1+65.4872333639008i</v>
      </c>
      <c r="AX529" s="32">
        <f t="shared" si="446"/>
        <v>65.494867994813177</v>
      </c>
      <c r="AY529" s="32">
        <f t="shared" si="447"/>
        <v>1.5555273616292749</v>
      </c>
      <c r="AZ529" s="32" t="str">
        <f t="shared" si="422"/>
        <v>1+1244.25743391412i</v>
      </c>
      <c r="BA529" s="32">
        <f t="shared" si="448"/>
        <v>1244.2578357601574</v>
      </c>
      <c r="BB529" s="32">
        <f t="shared" si="449"/>
        <v>1.5699926347634596</v>
      </c>
      <c r="BC529" s="60" t="str">
        <f t="shared" si="450"/>
        <v>-0.000152533531157459+0.010544072737446i</v>
      </c>
      <c r="BD529" s="51">
        <f t="shared" si="451"/>
        <v>-39.538923368487112</v>
      </c>
      <c r="BE529" s="63">
        <f t="shared" si="452"/>
        <v>90.828799100092752</v>
      </c>
      <c r="BF529" s="60" t="str">
        <f t="shared" si="453"/>
        <v>-0.00102608673934912-0.00174947235357483i</v>
      </c>
      <c r="BG529" s="66">
        <f t="shared" si="454"/>
        <v>-53.857877051953373</v>
      </c>
      <c r="BH529" s="63">
        <f t="shared" si="455"/>
        <v>-120.39213970403779</v>
      </c>
      <c r="BI529" s="60" t="e">
        <f t="shared" si="460"/>
        <v>#NUM!</v>
      </c>
      <c r="BJ529" s="66" t="e">
        <f t="shared" si="456"/>
        <v>#NUM!</v>
      </c>
      <c r="BK529" s="63" t="e">
        <f t="shared" si="461"/>
        <v>#NUM!</v>
      </c>
      <c r="BL529" s="51">
        <f t="shared" si="457"/>
        <v>-53.857877051953373</v>
      </c>
      <c r="BM529" s="63">
        <f t="shared" si="458"/>
        <v>-120.39213970403779</v>
      </c>
    </row>
    <row r="530" spans="14:65" x14ac:dyDescent="0.3">
      <c r="N530" s="11">
        <v>12</v>
      </c>
      <c r="O530" s="52">
        <f t="shared" si="462"/>
        <v>1318256.7385564097</v>
      </c>
      <c r="P530" s="50" t="str">
        <f t="shared" si="411"/>
        <v>23.3035714285714</v>
      </c>
      <c r="Q530" s="18" t="str">
        <f t="shared" si="412"/>
        <v>1+3141.56719849178i</v>
      </c>
      <c r="R530" s="18">
        <f t="shared" si="423"/>
        <v>3141.5673576480085</v>
      </c>
      <c r="S530" s="18">
        <f t="shared" si="424"/>
        <v>1.5704780143403021</v>
      </c>
      <c r="T530" s="18" t="str">
        <f t="shared" si="413"/>
        <v>1+14.660646926295i</v>
      </c>
      <c r="U530" s="18">
        <f t="shared" si="425"/>
        <v>14.694712256369058</v>
      </c>
      <c r="V530" s="18">
        <f t="shared" si="426"/>
        <v>1.5026920023127366</v>
      </c>
      <c r="W530" s="32" t="str">
        <f t="shared" si="414"/>
        <v>1-20.2469700174821i</v>
      </c>
      <c r="X530" s="18">
        <f t="shared" si="427"/>
        <v>20.271650028767244</v>
      </c>
      <c r="Y530" s="18">
        <f t="shared" si="428"/>
        <v>-1.5214463223421881</v>
      </c>
      <c r="Z530" s="32" t="str">
        <f t="shared" si="415"/>
        <v>-5.95120331499755+9.93714386081878i</v>
      </c>
      <c r="AA530" s="18">
        <f t="shared" si="429"/>
        <v>11.582903306470541</v>
      </c>
      <c r="AB530" s="18">
        <f t="shared" si="430"/>
        <v>2.1103953422361279</v>
      </c>
      <c r="AC530" s="68" t="str">
        <f t="shared" si="431"/>
        <v>-0.161829212219086+0.101016311934529i</v>
      </c>
      <c r="AD530" s="66">
        <f t="shared" si="432"/>
        <v>-14.389822713822102</v>
      </c>
      <c r="AE530" s="63">
        <f t="shared" si="433"/>
        <v>148.02694836069242</v>
      </c>
      <c r="AF530" s="51" t="e">
        <f t="shared" si="434"/>
        <v>#NUM!</v>
      </c>
      <c r="AG530" s="51" t="str">
        <f t="shared" si="416"/>
        <v>1-4398.1940778885i</v>
      </c>
      <c r="AH530" s="51">
        <f t="shared" si="435"/>
        <v>4398.1941915715215</v>
      </c>
      <c r="AI530" s="51">
        <f t="shared" si="436"/>
        <v>-1.5705689607521394</v>
      </c>
      <c r="AJ530" s="51" t="str">
        <f t="shared" si="417"/>
        <v>1+14.660646926295i</v>
      </c>
      <c r="AK530" s="51">
        <f t="shared" si="437"/>
        <v>14.694712256369058</v>
      </c>
      <c r="AL530" s="51">
        <f t="shared" si="438"/>
        <v>1.5026920023127366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-0.000170731707317073</v>
      </c>
      <c r="AT530" s="32" t="str">
        <f t="shared" si="420"/>
        <v>0.314748352089948i</v>
      </c>
      <c r="AU530" s="32">
        <f t="shared" si="444"/>
        <v>0.314748352089948</v>
      </c>
      <c r="AV530" s="32">
        <f t="shared" si="445"/>
        <v>1.5707963267948966</v>
      </c>
      <c r="AW530" s="32" t="str">
        <f t="shared" si="421"/>
        <v>1+67.0126269851341i</v>
      </c>
      <c r="AX530" s="32">
        <f t="shared" si="446"/>
        <v>67.020087850201477</v>
      </c>
      <c r="AY530" s="32">
        <f t="shared" si="447"/>
        <v>1.5558748735211589</v>
      </c>
      <c r="AZ530" s="32" t="str">
        <f t="shared" si="422"/>
        <v>1+1273.23991271755i</v>
      </c>
      <c r="BA530" s="32">
        <f t="shared" si="448"/>
        <v>1273.2403054164574</v>
      </c>
      <c r="BB530" s="32">
        <f t="shared" si="449"/>
        <v>1.57001092901998</v>
      </c>
      <c r="BC530" s="60" t="str">
        <f t="shared" si="450"/>
        <v>-0.000145669919783384+0.0103041627621556i</v>
      </c>
      <c r="BD530" s="51">
        <f t="shared" si="451"/>
        <v>-39.738877927146881</v>
      </c>
      <c r="BE530" s="63">
        <f t="shared" si="452"/>
        <v>90.80993631904515</v>
      </c>
      <c r="BF530" s="60" t="str">
        <f t="shared" si="453"/>
        <v>-0.00101731487144351-0.0016822295804332i</v>
      </c>
      <c r="BG530" s="66">
        <f t="shared" si="454"/>
        <v>-54.128700640968965</v>
      </c>
      <c r="BH530" s="63">
        <f t="shared" si="455"/>
        <v>-121.16311532026253</v>
      </c>
      <c r="BI530" s="60" t="e">
        <f t="shared" si="460"/>
        <v>#NUM!</v>
      </c>
      <c r="BJ530" s="66" t="e">
        <f t="shared" si="456"/>
        <v>#NUM!</v>
      </c>
      <c r="BK530" s="63" t="e">
        <f t="shared" si="461"/>
        <v>#NUM!</v>
      </c>
      <c r="BL530" s="51">
        <f t="shared" si="457"/>
        <v>-54.128700640968965</v>
      </c>
      <c r="BM530" s="63">
        <f t="shared" si="458"/>
        <v>-121.16311532026253</v>
      </c>
    </row>
    <row r="531" spans="14:65" x14ac:dyDescent="0.3">
      <c r="N531" s="11">
        <v>13</v>
      </c>
      <c r="O531" s="52">
        <f t="shared" si="462"/>
        <v>1348962.8825916562</v>
      </c>
      <c r="P531" s="50" t="str">
        <f t="shared" ref="P531:P560" si="463">COMPLEX(Adc,0)</f>
        <v>23.3035714285714</v>
      </c>
      <c r="Q531" s="18" t="str">
        <f t="shared" ref="Q531:Q560" si="464">IMSUM(COMPLEX(1,0),IMDIV(COMPLEX(0,2*PI()*O531),COMPLEX(wp_lf,0)))</f>
        <v>1+3214.74369899572i</v>
      </c>
      <c r="R531" s="18">
        <f t="shared" si="423"/>
        <v>3214.7438545291111</v>
      </c>
      <c r="S531" s="18">
        <f t="shared" si="424"/>
        <v>1.5704852600159001</v>
      </c>
      <c r="T531" s="18" t="str">
        <f t="shared" ref="T531:T560" si="465">IMSUM(COMPLEX(1,0),IMDIV(COMPLEX(0,2*PI()*O531),COMPLEX(wz_esr,0)))</f>
        <v>1+15.00213726198i</v>
      </c>
      <c r="U531" s="18">
        <f t="shared" si="425"/>
        <v>15.035428907327145</v>
      </c>
      <c r="V531" s="18">
        <f t="shared" si="426"/>
        <v>1.504237618589181</v>
      </c>
      <c r="W531" s="32" t="str">
        <f t="shared" ref="W531:W560" si="466">IMSUB(COMPLEX(1,0),IMDIV(COMPLEX(0,2*PI()*O531),COMPLEX(wz_rhp,0)))</f>
        <v>1-20.7185825338079i</v>
      </c>
      <c r="X531" s="18">
        <f t="shared" si="427"/>
        <v>20.742701420263703</v>
      </c>
      <c r="Y531" s="18">
        <f t="shared" si="428"/>
        <v>-1.5225679042566758</v>
      </c>
      <c r="Z531" s="32" t="str">
        <f t="shared" ref="Z531:Z560" si="467">IMSUM(COMPLEX(1,0),IMDIV(COMPLEX(0,2*PI()*O531),COMPLEX(Q*(wsl/2),0)),IMDIV(IMPOWER(COMPLEX(0,2*PI()*O531),2),IMPOWER(COMPLEX(wsl/2,0),2)))</f>
        <v>-6.27880343443997+10.1686096760616i</v>
      </c>
      <c r="AA531" s="18">
        <f t="shared" si="429"/>
        <v>11.95089935161487</v>
      </c>
      <c r="AB531" s="18">
        <f t="shared" si="430"/>
        <v>2.1239619083519572</v>
      </c>
      <c r="AC531" s="68" t="str">
        <f t="shared" si="431"/>
        <v>-0.15914295905372+0.102271852025088i</v>
      </c>
      <c r="AD531" s="66">
        <f t="shared" si="432"/>
        <v>-14.46286683023194</v>
      </c>
      <c r="AE531" s="63">
        <f t="shared" si="433"/>
        <v>147.2735216124475</v>
      </c>
      <c r="AF531" s="51" t="e">
        <f t="shared" si="434"/>
        <v>#NUM!</v>
      </c>
      <c r="AG531" s="51" t="str">
        <f t="shared" ref="AG531:AG560" si="468">IMSUM(COMPLEX(1,0),IMDIV(COMPLEX(0,2*PI()*O531),COMPLEX(wp_lf_DCM,0)))</f>
        <v>1-4500.64117859401i</v>
      </c>
      <c r="AH531" s="51">
        <f t="shared" si="435"/>
        <v>4500.6412896892907</v>
      </c>
      <c r="AI531" s="51">
        <f t="shared" si="436"/>
        <v>-1.5705741362349603</v>
      </c>
      <c r="AJ531" s="51" t="str">
        <f t="shared" ref="AJ531:AJ560" si="469">IMSUM(COMPLEX(1,0),IMDIV(COMPLEX(0,2*PI()*O531),COMPLEX(wz1_dcm,0)))</f>
        <v>1+15.00213726198i</v>
      </c>
      <c r="AK531" s="51">
        <f t="shared" si="437"/>
        <v>15.035428907327145</v>
      </c>
      <c r="AL531" s="51">
        <f t="shared" si="438"/>
        <v>1.504237618589181</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-0.000170731707317073</v>
      </c>
      <c r="AT531" s="32" t="str">
        <f t="shared" ref="AT531:AT560" si="472">COMPLEX(0,2*PI()*O531*wp0_ea)</f>
        <v>0.32207978302556i</v>
      </c>
      <c r="AU531" s="32">
        <f t="shared" si="444"/>
        <v>0.32207978302556001</v>
      </c>
      <c r="AV531" s="32">
        <f t="shared" si="445"/>
        <v>1.5707963267948966</v>
      </c>
      <c r="AW531" s="32" t="str">
        <f t="shared" ref="AW531:AW560" si="473">IMSUM(COMPLEX(1,0),IMDIV(COMPLEX(0,2*PI()*O531),COMPLEX(wp1_ea,0)))</f>
        <v>1+68.5735515882118i</v>
      </c>
      <c r="AX531" s="32">
        <f t="shared" si="446"/>
        <v>68.580842641521571</v>
      </c>
      <c r="AY531" s="32">
        <f t="shared" si="447"/>
        <v>1.5562144785593857</v>
      </c>
      <c r="AZ531" s="32" t="str">
        <f t="shared" ref="AZ531:AZ560" si="474">IMSUM(COMPLEX(1,0),IMDIV(COMPLEX(0,2*PI()*O531),COMPLEX(wz_ea,0)))</f>
        <v>1+1302.89748017603i</v>
      </c>
      <c r="BA531" s="32">
        <f t="shared" si="448"/>
        <v>1302.8978639360218</v>
      </c>
      <c r="BB531" s="32">
        <f t="shared" si="449"/>
        <v>1.5700288068488895</v>
      </c>
      <c r="BC531" s="60" t="str">
        <f t="shared" si="450"/>
        <v>-0.000139115087353035+0.0100697069703121i</v>
      </c>
      <c r="BD531" s="51">
        <f t="shared" si="451"/>
        <v>-39.9388345305575</v>
      </c>
      <c r="BE531" s="63">
        <f t="shared" si="452"/>
        <v>90.791502707796738</v>
      </c>
      <c r="BF531" s="60" t="str">
        <f t="shared" si="453"/>
        <v>-0.00100770839455338-0.00161675052168756i</v>
      </c>
      <c r="BG531" s="66">
        <f t="shared" si="454"/>
        <v>-54.401701360789446</v>
      </c>
      <c r="BH531" s="63">
        <f t="shared" si="455"/>
        <v>-121.93497567975591</v>
      </c>
      <c r="BI531" s="60" t="e">
        <f t="shared" si="460"/>
        <v>#NUM!</v>
      </c>
      <c r="BJ531" s="66" t="e">
        <f t="shared" si="456"/>
        <v>#NUM!</v>
      </c>
      <c r="BK531" s="63" t="e">
        <f t="shared" si="461"/>
        <v>#NUM!</v>
      </c>
      <c r="BL531" s="51">
        <f t="shared" si="457"/>
        <v>-54.401701360789446</v>
      </c>
      <c r="BM531" s="63">
        <f t="shared" si="458"/>
        <v>-121.93497567975591</v>
      </c>
    </row>
    <row r="532" spans="14:65" x14ac:dyDescent="0.3">
      <c r="N532" s="11">
        <v>14</v>
      </c>
      <c r="O532" s="52">
        <f t="shared" si="462"/>
        <v>1380384.2646028849</v>
      </c>
      <c r="P532" s="50" t="str">
        <f t="shared" si="463"/>
        <v>23.3035714285714</v>
      </c>
      <c r="Q532" s="18" t="str">
        <f t="shared" si="464"/>
        <v>1+3289.62469916102i</v>
      </c>
      <c r="R532" s="18">
        <f t="shared" ref="R532:R560" si="475">IMABS(Q532)</f>
        <v>3289.6248511540389</v>
      </c>
      <c r="S532" s="18">
        <f t="shared" ref="S532:S560" si="476">IMARGUMENT(Q532)</f>
        <v>1.570492340759817</v>
      </c>
      <c r="T532" s="18" t="str">
        <f t="shared" si="465"/>
        <v>1+15.3515819294181i</v>
      </c>
      <c r="U532" s="18">
        <f t="shared" ref="U532:U560" si="477">IMABS(T532)</f>
        <v>15.384117385655777</v>
      </c>
      <c r="V532" s="18">
        <f t="shared" ref="V532:V560" si="478">IMARGUMENT(T532)</f>
        <v>1.5057483601473516</v>
      </c>
      <c r="W532" s="32" t="str">
        <f t="shared" si="466"/>
        <v>1-21.201180316836i</v>
      </c>
      <c r="X532" s="18">
        <f t="shared" ref="X532:X560" si="479">IMABS(W532)</f>
        <v>21.224750807182499</v>
      </c>
      <c r="Y532" s="18">
        <f t="shared" ref="Y532:Y560" si="480">IMARGUMENT(W532)</f>
        <v>-1.5236640732000066</v>
      </c>
      <c r="Z532" s="32" t="str">
        <f t="shared" si="467"/>
        <v>-6.621842871853+10.405467022752i</v>
      </c>
      <c r="AA532" s="18">
        <f t="shared" ref="AA532:AA560" si="481">IMABS(Z532)</f>
        <v>12.333796940970357</v>
      </c>
      <c r="AB532" s="18">
        <f t="shared" ref="AB532:AB560" si="482">IMARGUMENT(Z532)</f>
        <v>2.1375379962386694</v>
      </c>
      <c r="AC532" s="68" t="str">
        <f t="shared" ref="AC532:AC560" si="483">(IMDIV(IMPRODUCT(P532,T532,W532),IMPRODUCT(Q532,Z532)))</f>
        <v>-0.156421506380269+0.10345849182527i</v>
      </c>
      <c r="AD532" s="66">
        <f t="shared" ref="AD532:AD560" si="484">20*LOG(IMABS(AC532))</f>
        <v>-14.538109963245912</v>
      </c>
      <c r="AE532" s="63">
        <f t="shared" ref="AE532:AE560" si="485">(180/PI())*IMARGUMENT(AC532)</f>
        <v>146.51901663862984</v>
      </c>
      <c r="AF532" s="51" t="e">
        <f t="shared" ref="AF532:AF560" si="486">COMPLEX($B$68,0)</f>
        <v>#NUM!</v>
      </c>
      <c r="AG532" s="51" t="str">
        <f t="shared" si="468"/>
        <v>1-4605.47457882544i</v>
      </c>
      <c r="AH532" s="51">
        <f t="shared" ref="AH532:AH560" si="487">IMABS(AG532)</f>
        <v>4605.4746873918839</v>
      </c>
      <c r="AI532" s="51">
        <f t="shared" ref="AI532:AI560" si="488">IMARGUMENT(AG532)</f>
        <v>-1.5705791939094211</v>
      </c>
      <c r="AJ532" s="51" t="str">
        <f t="shared" si="469"/>
        <v>1+15.3515819294181i</v>
      </c>
      <c r="AK532" s="51">
        <f t="shared" ref="AK532:AK560" si="489">IMABS(AJ532)</f>
        <v>15.384117385655777</v>
      </c>
      <c r="AL532" s="51">
        <f t="shared" ref="AL532:AL560" si="490">IMARGUMENT(AJ532)</f>
        <v>1.5057483601473516</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-0.000170731707317073</v>
      </c>
      <c r="AT532" s="32" t="str">
        <f t="shared" si="472"/>
        <v>0.32958198492536i</v>
      </c>
      <c r="AU532" s="32">
        <f t="shared" ref="AU532:AU560" si="496">IMABS(AT532)</f>
        <v>0.32958198492536001</v>
      </c>
      <c r="AV532" s="32">
        <f t="shared" ref="AV532:AV560" si="497">IMARGUMENT(AT532)</f>
        <v>1.5707963267948966</v>
      </c>
      <c r="AW532" s="32" t="str">
        <f t="shared" si="473"/>
        <v>1+70.1708347960198i</v>
      </c>
      <c r="AX532" s="32">
        <f t="shared" ref="AX532:AX560" si="498">IMABS(AW532)</f>
        <v>70.17795990174055</v>
      </c>
      <c r="AY532" s="32">
        <f t="shared" ref="AY532:AY560" si="499">IMARGUMENT(AW532)</f>
        <v>1.556546356493524</v>
      </c>
      <c r="AZ532" s="32" t="str">
        <f t="shared" si="474"/>
        <v>1+1333.24586112438i</v>
      </c>
      <c r="BA532" s="32">
        <f t="shared" ref="BA532:BA560" si="500">IMABS(AZ532)</f>
        <v>1333.2462361489306</v>
      </c>
      <c r="BB532" s="32">
        <f t="shared" ref="BB532:BB560" si="501">IMARGUMENT(AZ532)</f>
        <v>1.5700462777292035</v>
      </c>
      <c r="BC532" s="60" t="str">
        <f t="shared" ref="BC532:BC560" si="502">IMPRODUCT(AS532,IMDIV(AZ532,IMPRODUCT(AT532,AW532)))</f>
        <v>-0.00013285514835154+0.00984058166549047i</v>
      </c>
      <c r="BD532" s="51">
        <f t="shared" ref="BD532:BD560" si="503">20*LOG(IMABS(BC532))</f>
        <v>-40.138793086729343</v>
      </c>
      <c r="BE532" s="63">
        <f t="shared" ref="BE532:BE560" si="504">(180/PI())*IMARGUMENT(BC532)</f>
        <v>90.773488510563467</v>
      </c>
      <c r="BF532" s="60" t="str">
        <f t="shared" ref="BF532:BF560" si="505">IMPRODUCT(AC532,BC532)</f>
        <v>-0.000997310335359525-0.00155302360105375i</v>
      </c>
      <c r="BG532" s="66">
        <f t="shared" ref="BG532:BG560" si="506">20*LOG(IMABS(BF532))</f>
        <v>-54.676903049975252</v>
      </c>
      <c r="BH532" s="63">
        <f t="shared" ref="BH532:BH560" si="507">(180/PI())*IMARGUMENT(BF532)</f>
        <v>-122.70749485080664</v>
      </c>
      <c r="BI532" s="60" t="e">
        <f t="shared" si="460"/>
        <v>#NUM!</v>
      </c>
      <c r="BJ532" s="66" t="e">
        <f t="shared" ref="BJ532:BJ560" si="508">20*LOG(IMABS(BI532))</f>
        <v>#NUM!</v>
      </c>
      <c r="BK532" s="63" t="e">
        <f t="shared" si="461"/>
        <v>#NUM!</v>
      </c>
      <c r="BL532" s="51">
        <f t="shared" ref="BL532:BL560" si="509">IF($B$31=0,BJ532,BG532)</f>
        <v>-54.676903049975252</v>
      </c>
      <c r="BM532" s="63">
        <f t="shared" ref="BM532:BM560" si="510">IF($B$31=0,BK532,BH532)</f>
        <v>-122.70749485080664</v>
      </c>
    </row>
    <row r="533" spans="14:65" x14ac:dyDescent="0.3">
      <c r="N533" s="11">
        <v>15</v>
      </c>
      <c r="O533" s="52">
        <f t="shared" si="462"/>
        <v>1412537.5446227565</v>
      </c>
      <c r="P533" s="50" t="str">
        <f t="shared" si="463"/>
        <v>23.3035714285714</v>
      </c>
      <c r="Q533" s="18" t="str">
        <f t="shared" si="464"/>
        <v>1+3366.24990188516i</v>
      </c>
      <c r="R533" s="18">
        <f t="shared" si="475"/>
        <v>3366.2500504183949</v>
      </c>
      <c r="S533" s="18">
        <f t="shared" si="476"/>
        <v>1.5704992603263543</v>
      </c>
      <c r="T533" s="18" t="str">
        <f t="shared" si="465"/>
        <v>1+15.7091662087974i</v>
      </c>
      <c r="U533" s="18">
        <f t="shared" si="477"/>
        <v>15.74096258097395</v>
      </c>
      <c r="V533" s="18">
        <f t="shared" si="478"/>
        <v>1.5072250004026793</v>
      </c>
      <c r="W533" s="32" t="str">
        <f t="shared" si="466"/>
        <v>1-21.695019246299i</v>
      </c>
      <c r="X533" s="18">
        <f t="shared" si="479"/>
        <v>21.718053782447541</v>
      </c>
      <c r="Y533" s="18">
        <f t="shared" si="480"/>
        <v>-1.524735399832341</v>
      </c>
      <c r="Z533" s="32" t="str">
        <f t="shared" si="467"/>
        <v>-6.98104925987555+10.6478414857907i</v>
      </c>
      <c r="AA533" s="18">
        <f t="shared" si="481"/>
        <v>12.732304468372346</v>
      </c>
      <c r="AB533" s="18">
        <f t="shared" si="482"/>
        <v>2.1511195168196844</v>
      </c>
      <c r="AC533" s="68" t="str">
        <f t="shared" si="483"/>
        <v>-0.153667448909223+0.104574755074345i</v>
      </c>
      <c r="AD533" s="66">
        <f t="shared" si="484"/>
        <v>-14.615574256748893</v>
      </c>
      <c r="AE533" s="63">
        <f t="shared" si="485"/>
        <v>145.76367912798565</v>
      </c>
      <c r="AF533" s="51" t="e">
        <f t="shared" si="486"/>
        <v>#NUM!</v>
      </c>
      <c r="AG533" s="51" t="str">
        <f t="shared" si="468"/>
        <v>1-4712.74986263924i</v>
      </c>
      <c r="AH533" s="51">
        <f t="shared" si="487"/>
        <v>4712.7499687344098</v>
      </c>
      <c r="AI533" s="51">
        <f t="shared" si="488"/>
        <v>-1.5705841364571664</v>
      </c>
      <c r="AJ533" s="51" t="str">
        <f t="shared" si="469"/>
        <v>1+15.7091662087974i</v>
      </c>
      <c r="AK533" s="51">
        <f t="shared" si="489"/>
        <v>15.74096258097395</v>
      </c>
      <c r="AL533" s="51">
        <f t="shared" si="490"/>
        <v>1.5072250004026793</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-0.000170731707317073</v>
      </c>
      <c r="AT533" s="32" t="str">
        <f t="shared" si="472"/>
        <v>0.337258935556103i</v>
      </c>
      <c r="AU533" s="32">
        <f t="shared" si="496"/>
        <v>0.33725893555610298</v>
      </c>
      <c r="AV533" s="32">
        <f t="shared" si="497"/>
        <v>1.5707963267948966</v>
      </c>
      <c r="AW533" s="32" t="str">
        <f t="shared" si="473"/>
        <v>1+71.8053235092577i</v>
      </c>
      <c r="AX533" s="32">
        <f t="shared" si="498"/>
        <v>71.81228644368008</v>
      </c>
      <c r="AY533" s="32">
        <f t="shared" si="499"/>
        <v>1.5568706829970478</v>
      </c>
      <c r="AZ533" s="32" t="str">
        <f t="shared" si="474"/>
        <v>1+1364.3011466759i</v>
      </c>
      <c r="BA533" s="32">
        <f t="shared" si="500"/>
        <v>1364.3015131638517</v>
      </c>
      <c r="BB533" s="32">
        <f t="shared" si="501"/>
        <v>1.5700633509241719</v>
      </c>
      <c r="BC533" s="60" t="str">
        <f t="shared" si="502"/>
        <v>-0.000126876841174977+0.00961666593653072i</v>
      </c>
      <c r="BD533" s="51">
        <f t="shared" si="503"/>
        <v>-40.338753507809521</v>
      </c>
      <c r="BE533" s="63">
        <f t="shared" si="504"/>
        <v>90.755884192741817</v>
      </c>
      <c r="BF533" s="60" t="str">
        <f t="shared" si="505"/>
        <v>-0.000986163644435477-0.00149103663606938i</v>
      </c>
      <c r="BG533" s="66">
        <f t="shared" si="506"/>
        <v>-54.954327764558414</v>
      </c>
      <c r="BH533" s="63">
        <f t="shared" si="507"/>
        <v>-123.48043667927249</v>
      </c>
      <c r="BI533" s="60" t="e">
        <f t="shared" si="460"/>
        <v>#NUM!</v>
      </c>
      <c r="BJ533" s="66" t="e">
        <f t="shared" si="508"/>
        <v>#NUM!</v>
      </c>
      <c r="BK533" s="63" t="e">
        <f t="shared" si="461"/>
        <v>#NUM!</v>
      </c>
      <c r="BL533" s="51">
        <f t="shared" si="509"/>
        <v>-54.954327764558414</v>
      </c>
      <c r="BM533" s="63">
        <f t="shared" si="510"/>
        <v>-123.48043667927249</v>
      </c>
    </row>
    <row r="534" spans="14:65" x14ac:dyDescent="0.3">
      <c r="N534" s="11">
        <v>16</v>
      </c>
      <c r="O534" s="52">
        <f t="shared" si="462"/>
        <v>1445439.7707459298</v>
      </c>
      <c r="P534" s="50" t="str">
        <f t="shared" si="463"/>
        <v>23.3035714285714</v>
      </c>
      <c r="Q534" s="18" t="str">
        <f t="shared" si="464"/>
        <v>1+3444.65993486486i</v>
      </c>
      <c r="R534" s="18">
        <f t="shared" si="475"/>
        <v>3444.6600800170663</v>
      </c>
      <c r="S534" s="18">
        <f t="shared" si="476"/>
        <v>1.5705060223843548</v>
      </c>
      <c r="T534" s="18" t="str">
        <f t="shared" si="465"/>
        <v>1+16.075079696036i</v>
      </c>
      <c r="U534" s="18">
        <f t="shared" si="477"/>
        <v>16.106153707012389</v>
      </c>
      <c r="V534" s="18">
        <f t="shared" si="478"/>
        <v>1.5086682965167397</v>
      </c>
      <c r="W534" s="32" t="str">
        <f t="shared" si="466"/>
        <v>1-22.2003611621339i</v>
      </c>
      <c r="X534" s="18">
        <f t="shared" si="479"/>
        <v>22.222871905520741</v>
      </c>
      <c r="Y534" s="18">
        <f t="shared" si="480"/>
        <v>-1.5257824423428026</v>
      </c>
      <c r="Z534" s="32" t="str">
        <f t="shared" si="467"/>
        <v>-7.3571845234162+10.8958615753259i</v>
      </c>
      <c r="AA534" s="18">
        <f t="shared" si="481"/>
        <v>13.14716561013279</v>
      </c>
      <c r="AB534" s="18">
        <f t="shared" si="482"/>
        <v>2.1647022137883276</v>
      </c>
      <c r="AC534" s="68" t="str">
        <f t="shared" si="483"/>
        <v>-0.150883490672761+0.105619289686535i</v>
      </c>
      <c r="AD534" s="66">
        <f t="shared" si="484"/>
        <v>-14.695279972804068</v>
      </c>
      <c r="AE534" s="63">
        <f t="shared" si="485"/>
        <v>145.00776413899595</v>
      </c>
      <c r="AF534" s="51" t="e">
        <f t="shared" si="486"/>
        <v>#NUM!</v>
      </c>
      <c r="AG534" s="51" t="str">
        <f t="shared" si="468"/>
        <v>1-4822.52390881082i</v>
      </c>
      <c r="AH534" s="51">
        <f t="shared" si="487"/>
        <v>4822.5240124909678</v>
      </c>
      <c r="AI534" s="51">
        <f t="shared" si="488"/>
        <v>-1.5705889664987993</v>
      </c>
      <c r="AJ534" s="51" t="str">
        <f t="shared" si="469"/>
        <v>1+16.075079696036i</v>
      </c>
      <c r="AK534" s="51">
        <f t="shared" si="489"/>
        <v>16.106153707012389</v>
      </c>
      <c r="AL534" s="51">
        <f t="shared" si="490"/>
        <v>1.5086682965167397</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-0.000170731707317073</v>
      </c>
      <c r="AT534" s="32" t="str">
        <f t="shared" si="472"/>
        <v>0.345114705338627i</v>
      </c>
      <c r="AU534" s="32">
        <f t="shared" si="496"/>
        <v>0.34511470533862698</v>
      </c>
      <c r="AV534" s="32">
        <f t="shared" si="497"/>
        <v>1.5707963267948966</v>
      </c>
      <c r="AW534" s="32" t="str">
        <f t="shared" si="473"/>
        <v>1+73.4778843554759i</v>
      </c>
      <c r="AX534" s="32">
        <f t="shared" si="498"/>
        <v>73.484688809007622</v>
      </c>
      <c r="AY534" s="32">
        <f t="shared" si="499"/>
        <v>1.5571876297590841</v>
      </c>
      <c r="AZ534" s="32" t="str">
        <f t="shared" si="474"/>
        <v>1+1396.07980275405i</v>
      </c>
      <c r="BA534" s="32">
        <f t="shared" si="500"/>
        <v>1396.0801608997197</v>
      </c>
      <c r="BB534" s="32">
        <f t="shared" si="501"/>
        <v>1.5700800354861886</v>
      </c>
      <c r="BC534" s="60" t="str">
        <f t="shared" si="502"/>
        <v>-0.000121167500141229+0.00939784159616486i</v>
      </c>
      <c r="BD534" s="51">
        <f t="shared" si="503"/>
        <v>-40.538715709895868</v>
      </c>
      <c r="BE534" s="63">
        <f t="shared" si="504"/>
        <v>90.738680435933375</v>
      </c>
      <c r="BF534" s="60" t="str">
        <f t="shared" si="505"/>
        <v>-0.000974311178596104-0.00143077677011704i</v>
      </c>
      <c r="BG534" s="66">
        <f t="shared" si="506"/>
        <v>-55.233995682699913</v>
      </c>
      <c r="BH534" s="63">
        <f t="shared" si="507"/>
        <v>-124.25355542507059</v>
      </c>
      <c r="BI534" s="60" t="e">
        <f t="shared" si="460"/>
        <v>#NUM!</v>
      </c>
      <c r="BJ534" s="66" t="e">
        <f t="shared" si="508"/>
        <v>#NUM!</v>
      </c>
      <c r="BK534" s="63" t="e">
        <f t="shared" si="461"/>
        <v>#NUM!</v>
      </c>
      <c r="BL534" s="51">
        <f t="shared" si="509"/>
        <v>-55.233995682699913</v>
      </c>
      <c r="BM534" s="63">
        <f t="shared" si="510"/>
        <v>-124.25355542507059</v>
      </c>
    </row>
    <row r="535" spans="14:65" x14ac:dyDescent="0.3">
      <c r="N535" s="11">
        <v>17</v>
      </c>
      <c r="O535" s="52">
        <f t="shared" si="462"/>
        <v>1479108.3881682095</v>
      </c>
      <c r="P535" s="50" t="str">
        <f t="shared" si="463"/>
        <v>23.3035714285714</v>
      </c>
      <c r="Q535" s="18" t="str">
        <f t="shared" si="464"/>
        <v>1+3524.89637213749i</v>
      </c>
      <c r="R535" s="18">
        <f t="shared" si="475"/>
        <v>3524.8965139856282</v>
      </c>
      <c r="S535" s="18">
        <f t="shared" si="476"/>
        <v>1.5705126305191488</v>
      </c>
      <c r="T535" s="18" t="str">
        <f t="shared" si="465"/>
        <v>1+16.4495164033083i</v>
      </c>
      <c r="U535" s="18">
        <f t="shared" si="477"/>
        <v>16.479884401982581</v>
      </c>
      <c r="V535" s="18">
        <f t="shared" si="478"/>
        <v>1.5100789896783862</v>
      </c>
      <c r="W535" s="32" t="str">
        <f t="shared" si="466"/>
        <v>1-22.7174740033134i</v>
      </c>
      <c r="X535" s="18">
        <f t="shared" si="479"/>
        <v>22.739472841102099</v>
      </c>
      <c r="Y535" s="18">
        <f t="shared" si="480"/>
        <v>-1.5268057466989995</v>
      </c>
      <c r="Z535" s="32" t="str">
        <f t="shared" si="467"/>
        <v>-7.75104649579824+11.1496587948921i</v>
      </c>
      <c r="AA535" s="18">
        <f t="shared" si="481"/>
        <v>13.57916098374789</v>
      </c>
      <c r="AB535" s="18">
        <f t="shared" si="482"/>
        <v>2.178281675533579</v>
      </c>
      <c r="AC535" s="68" t="str">
        <f t="shared" si="483"/>
        <v>-0.148072436829632+0.106590876968885i</v>
      </c>
      <c r="AD535" s="66">
        <f t="shared" si="484"/>
        <v>-14.77724540274613</v>
      </c>
      <c r="AE535" s="63">
        <f t="shared" si="485"/>
        <v>144.25153541828246</v>
      </c>
      <c r="AF535" s="51" t="e">
        <f t="shared" si="486"/>
        <v>#NUM!</v>
      </c>
      <c r="AG535" s="51" t="str">
        <f t="shared" si="468"/>
        <v>1-4934.8549209925i</v>
      </c>
      <c r="AH535" s="51">
        <f t="shared" si="487"/>
        <v>4934.8550223126003</v>
      </c>
      <c r="AI535" s="51">
        <f t="shared" si="488"/>
        <v>-1.5705936865952712</v>
      </c>
      <c r="AJ535" s="51" t="str">
        <f t="shared" si="469"/>
        <v>1+16.4495164033083i</v>
      </c>
      <c r="AK535" s="51">
        <f t="shared" si="489"/>
        <v>16.479884401982581</v>
      </c>
      <c r="AL535" s="51">
        <f t="shared" si="490"/>
        <v>1.5100789896783862</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-0.000170731707317073</v>
      </c>
      <c r="AT535" s="32" t="str">
        <f t="shared" si="472"/>
        <v>0.353153459506054i</v>
      </c>
      <c r="AU535" s="32">
        <f t="shared" si="496"/>
        <v>0.35315345950605398</v>
      </c>
      <c r="AV535" s="32">
        <f t="shared" si="497"/>
        <v>1.5707963267948966</v>
      </c>
      <c r="AW535" s="32" t="str">
        <f t="shared" si="473"/>
        <v>1+75.1894041485741i</v>
      </c>
      <c r="AX535" s="32">
        <f t="shared" si="498"/>
        <v>75.196053727689801</v>
      </c>
      <c r="AY535" s="32">
        <f t="shared" si="499"/>
        <v>1.5574973645741435</v>
      </c>
      <c r="AZ535" s="32" t="str">
        <f t="shared" si="474"/>
        <v>1+1428.59867882291i</v>
      </c>
      <c r="BA535" s="32">
        <f t="shared" si="500"/>
        <v>1428.5990288161909</v>
      </c>
      <c r="BB535" s="32">
        <f t="shared" si="501"/>
        <v>1.5700963402615919</v>
      </c>
      <c r="BC535" s="60" t="str">
        <f t="shared" si="502"/>
        <v>-0.000115715028752494+0.00918399312090525i</v>
      </c>
      <c r="BD535" s="51">
        <f t="shared" si="503"/>
        <v>-40.738679612859805</v>
      </c>
      <c r="BE535" s="63">
        <f t="shared" si="504"/>
        <v>90.721868133078715</v>
      </c>
      <c r="BF535" s="60" t="str">
        <f t="shared" si="505"/>
        <v>-0.000961795674548305-0.00137223040763223i</v>
      </c>
      <c r="BG535" s="66">
        <f t="shared" si="506"/>
        <v>-55.515925015605916</v>
      </c>
      <c r="BH535" s="63">
        <f t="shared" si="507"/>
        <v>-125.02659644863874</v>
      </c>
      <c r="BI535" s="60" t="e">
        <f t="shared" si="460"/>
        <v>#NUM!</v>
      </c>
      <c r="BJ535" s="66" t="e">
        <f t="shared" si="508"/>
        <v>#NUM!</v>
      </c>
      <c r="BK535" s="63" t="e">
        <f t="shared" si="461"/>
        <v>#NUM!</v>
      </c>
      <c r="BL535" s="51">
        <f t="shared" si="509"/>
        <v>-55.515925015605916</v>
      </c>
      <c r="BM535" s="63">
        <f t="shared" si="510"/>
        <v>-125.02659644863874</v>
      </c>
    </row>
    <row r="536" spans="14:65" x14ac:dyDescent="0.3">
      <c r="N536" s="11">
        <v>18</v>
      </c>
      <c r="O536" s="52">
        <f t="shared" si="462"/>
        <v>1513561.2484362102</v>
      </c>
      <c r="P536" s="50" t="str">
        <f t="shared" si="463"/>
        <v>23.3035714285714</v>
      </c>
      <c r="Q536" s="18" t="str">
        <f t="shared" si="464"/>
        <v>1+3607.00175612415i</v>
      </c>
      <c r="R536" s="18">
        <f t="shared" si="475"/>
        <v>3607.001894743431</v>
      </c>
      <c r="S536" s="18">
        <f t="shared" si="476"/>
        <v>1.5705190882344546</v>
      </c>
      <c r="T536" s="18" t="str">
        <f t="shared" si="465"/>
        <v>1+16.8326748619127i</v>
      </c>
      <c r="U536" s="18">
        <f t="shared" si="477"/>
        <v>16.862352831288632</v>
      </c>
      <c r="V536" s="18">
        <f t="shared" si="478"/>
        <v>1.5114578053842684</v>
      </c>
      <c r="W536" s="32" t="str">
        <f t="shared" si="466"/>
        <v>1-23.2466319499108i</v>
      </c>
      <c r="X536" s="18">
        <f t="shared" si="479"/>
        <v>23.268130501065482</v>
      </c>
      <c r="Y536" s="18">
        <f t="shared" si="480"/>
        <v>-1.5278058468931268</v>
      </c>
      <c r="Z536" s="32" t="str">
        <f t="shared" si="467"/>
        <v>-8.16347061107114+11.4093677111346i</v>
      </c>
      <c r="AA536" s="18">
        <f t="shared" si="481"/>
        <v>14.029109878595397</v>
      </c>
      <c r="AB536" s="18">
        <f t="shared" si="482"/>
        <v>2.1918533478867568</v>
      </c>
      <c r="AC536" s="68" t="str">
        <f t="shared" si="483"/>
        <v>-0.145237184587768+0.107488440189399i</v>
      </c>
      <c r="AD536" s="66">
        <f t="shared" si="484"/>
        <v>-14.861486785224528</v>
      </c>
      <c r="AE536" s="63">
        <f t="shared" si="485"/>
        <v>143.49526467213835</v>
      </c>
      <c r="AF536" s="51" t="e">
        <f t="shared" si="486"/>
        <v>#NUM!</v>
      </c>
      <c r="AG536" s="51" t="str">
        <f t="shared" si="468"/>
        <v>1-5049.80245857382i</v>
      </c>
      <c r="AH536" s="51">
        <f t="shared" si="487"/>
        <v>5049.8025575875936</v>
      </c>
      <c r="AI536" s="51">
        <f t="shared" si="488"/>
        <v>-1.5705982992492387</v>
      </c>
      <c r="AJ536" s="51" t="str">
        <f t="shared" si="469"/>
        <v>1+16.8326748619127i</v>
      </c>
      <c r="AK536" s="51">
        <f t="shared" si="489"/>
        <v>16.862352831288632</v>
      </c>
      <c r="AL536" s="51">
        <f t="shared" si="490"/>
        <v>1.5114578053842684</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-0.000170731707317073</v>
      </c>
      <c r="AT536" s="32" t="str">
        <f t="shared" si="472"/>
        <v>0.36137946031225i</v>
      </c>
      <c r="AU536" s="32">
        <f t="shared" si="496"/>
        <v>0.36137946031224999</v>
      </c>
      <c r="AV536" s="32">
        <f t="shared" si="497"/>
        <v>1.5707963267948966</v>
      </c>
      <c r="AW536" s="32" t="str">
        <f t="shared" si="473"/>
        <v>1+76.9407903590014i</v>
      </c>
      <c r="AX536" s="32">
        <f t="shared" si="498"/>
        <v>76.947288588148467</v>
      </c>
      <c r="AY536" s="32">
        <f t="shared" si="499"/>
        <v>1.5578000514298715</v>
      </c>
      <c r="AZ536" s="32" t="str">
        <f t="shared" si="474"/>
        <v>1+1461.87501682103i</v>
      </c>
      <c r="BA536" s="32">
        <f t="shared" si="500"/>
        <v>1461.8753588474929</v>
      </c>
      <c r="BB536" s="32">
        <f t="shared" si="501"/>
        <v>1.570112273895355</v>
      </c>
      <c r="BC536" s="60" t="str">
        <f t="shared" si="502"/>
        <v>-0.000110507874153869+0.00897500759217613i</v>
      </c>
      <c r="BD536" s="51">
        <f t="shared" si="503"/>
        <v>-40.93864514017632</v>
      </c>
      <c r="BE536" s="63">
        <f t="shared" si="504"/>
        <v>90.70543838369835</v>
      </c>
      <c r="BF536" s="60" t="str">
        <f t="shared" si="505"/>
        <v>-0.000948659714254138-0.00131538315336295i</v>
      </c>
      <c r="BG536" s="66">
        <f t="shared" si="506"/>
        <v>-55.800131925400855</v>
      </c>
      <c r="BH536" s="63">
        <f t="shared" si="507"/>
        <v>-125.79929694416326</v>
      </c>
      <c r="BI536" s="60" t="e">
        <f t="shared" si="460"/>
        <v>#NUM!</v>
      </c>
      <c r="BJ536" s="66" t="e">
        <f t="shared" si="508"/>
        <v>#NUM!</v>
      </c>
      <c r="BK536" s="63" t="e">
        <f t="shared" si="461"/>
        <v>#NUM!</v>
      </c>
      <c r="BL536" s="51">
        <f t="shared" si="509"/>
        <v>-55.800131925400855</v>
      </c>
      <c r="BM536" s="63">
        <f t="shared" si="510"/>
        <v>-125.79929694416326</v>
      </c>
    </row>
    <row r="537" spans="14:65" x14ac:dyDescent="0.3">
      <c r="N537" s="11">
        <v>19</v>
      </c>
      <c r="O537" s="52">
        <f t="shared" si="462"/>
        <v>1548816.6189124861</v>
      </c>
      <c r="P537" s="50" t="str">
        <f t="shared" si="463"/>
        <v>23.3035714285714</v>
      </c>
      <c r="Q537" s="18" t="str">
        <f t="shared" si="464"/>
        <v>1+3691.01962018622i</v>
      </c>
      <c r="R537" s="18">
        <f t="shared" si="475"/>
        <v>3691.0197556501412</v>
      </c>
      <c r="S537" s="18">
        <f t="shared" si="476"/>
        <v>1.570525398954236</v>
      </c>
      <c r="T537" s="18" t="str">
        <f t="shared" si="465"/>
        <v>1+17.2247582275357i</v>
      </c>
      <c r="U537" s="18">
        <f t="shared" si="477"/>
        <v>17.253761792636954</v>
      </c>
      <c r="V537" s="18">
        <f t="shared" si="478"/>
        <v>1.5128054537183833</v>
      </c>
      <c r="W537" s="32" t="str">
        <f t="shared" si="466"/>
        <v>1-23.7881155684737i</v>
      </c>
      <c r="X537" s="18">
        <f t="shared" si="479"/>
        <v>23.80912518970533</v>
      </c>
      <c r="Y537" s="18">
        <f t="shared" si="480"/>
        <v>-1.5287832651845832</v>
      </c>
      <c r="Z537" s="32" t="str">
        <f t="shared" si="467"/>
        <v>-8.59533167607804+11.6751260251583i</v>
      </c>
      <c r="AA537" s="18">
        <f t="shared" si="481"/>
        <v>14.497872061965479</v>
      </c>
      <c r="AB537" s="18">
        <f t="shared" si="482"/>
        <v>2.2054125476240758</v>
      </c>
      <c r="AC537" s="68" t="str">
        <f t="shared" si="483"/>
        <v>-0.142380713305281+0.108311052400315i</v>
      </c>
      <c r="AD537" s="66">
        <f t="shared" si="484"/>
        <v>-14.948018231857294</v>
      </c>
      <c r="AE537" s="63">
        <f t="shared" si="485"/>
        <v>142.7392307948991</v>
      </c>
      <c r="AF537" s="51" t="e">
        <f t="shared" si="486"/>
        <v>#NUM!</v>
      </c>
      <c r="AG537" s="51" t="str">
        <f t="shared" si="468"/>
        <v>1-5167.42746826072i</v>
      </c>
      <c r="AH537" s="51">
        <f t="shared" si="487"/>
        <v>5167.4275650206655</v>
      </c>
      <c r="AI537" s="51">
        <f t="shared" si="488"/>
        <v>-1.5706028069063913</v>
      </c>
      <c r="AJ537" s="51" t="str">
        <f t="shared" si="469"/>
        <v>1+17.2247582275357i</v>
      </c>
      <c r="AK537" s="51">
        <f t="shared" si="489"/>
        <v>17.253761792636954</v>
      </c>
      <c r="AL537" s="51">
        <f t="shared" si="490"/>
        <v>1.5128054537183833</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-0.000170731707317073</v>
      </c>
      <c r="AT537" s="32" t="str">
        <f t="shared" si="472"/>
        <v>0.369797069291727i</v>
      </c>
      <c r="AU537" s="32">
        <f t="shared" si="496"/>
        <v>0.36979706929172701</v>
      </c>
      <c r="AV537" s="32">
        <f t="shared" si="497"/>
        <v>1.5707963267948966</v>
      </c>
      <c r="AW537" s="32" t="str">
        <f t="shared" si="473"/>
        <v>1+78.7329715949089i</v>
      </c>
      <c r="AX537" s="32">
        <f t="shared" si="498"/>
        <v>78.73932191837018</v>
      </c>
      <c r="AY537" s="32">
        <f t="shared" si="499"/>
        <v>1.5580958505928628</v>
      </c>
      <c r="AZ537" s="32" t="str">
        <f t="shared" si="474"/>
        <v>1+1495.92646030327i</v>
      </c>
      <c r="BA537" s="32">
        <f t="shared" si="500"/>
        <v>1495.9267945442621</v>
      </c>
      <c r="BB537" s="32">
        <f t="shared" si="501"/>
        <v>1.570127844835669</v>
      </c>
      <c r="BC537" s="60" t="str">
        <f t="shared" si="502"/>
        <v>-0.000105535002734781+0.00877077463866664i</v>
      </c>
      <c r="BD537" s="51">
        <f t="shared" si="503"/>
        <v>-41.138612218762354</v>
      </c>
      <c r="BE537" s="63">
        <f t="shared" si="504"/>
        <v>90.689382489238497</v>
      </c>
      <c r="BF537" s="60" t="str">
        <f t="shared" si="505"/>
        <v>-0.000934945682511923-0.0012602197565045i</v>
      </c>
      <c r="BG537" s="66">
        <f t="shared" si="506"/>
        <v>-56.086630450619651</v>
      </c>
      <c r="BH537" s="63">
        <f t="shared" si="507"/>
        <v>-126.57138671586235</v>
      </c>
      <c r="BI537" s="60" t="e">
        <f t="shared" si="460"/>
        <v>#NUM!</v>
      </c>
      <c r="BJ537" s="66" t="e">
        <f t="shared" si="508"/>
        <v>#NUM!</v>
      </c>
      <c r="BK537" s="63" t="e">
        <f t="shared" si="461"/>
        <v>#NUM!</v>
      </c>
      <c r="BL537" s="51">
        <f t="shared" si="509"/>
        <v>-56.086630450619651</v>
      </c>
      <c r="BM537" s="63">
        <f t="shared" si="510"/>
        <v>-126.57138671586235</v>
      </c>
    </row>
    <row r="538" spans="14:65" x14ac:dyDescent="0.3">
      <c r="N538" s="11">
        <v>20</v>
      </c>
      <c r="O538" s="52">
        <f t="shared" si="462"/>
        <v>1584893.1924611153</v>
      </c>
      <c r="P538" s="50" t="str">
        <f t="shared" si="463"/>
        <v>23.3035714285714</v>
      </c>
      <c r="Q538" s="18" t="str">
        <f t="shared" si="464"/>
        <v>1+3776.99451170732i</v>
      </c>
      <c r="R538" s="18">
        <f t="shared" si="475"/>
        <v>3776.9946440877061</v>
      </c>
      <c r="S538" s="18">
        <f t="shared" si="476"/>
        <v>1.5705315660245185</v>
      </c>
      <c r="T538" s="18" t="str">
        <f t="shared" si="465"/>
        <v>1+17.6259743879675i</v>
      </c>
      <c r="U538" s="18">
        <f t="shared" si="477"/>
        <v>17.654318823599123</v>
      </c>
      <c r="V538" s="18">
        <f t="shared" si="478"/>
        <v>1.5141226296303267</v>
      </c>
      <c r="W538" s="32" t="str">
        <f t="shared" si="466"/>
        <v>1-24.3422119607838i</v>
      </c>
      <c r="X538" s="18">
        <f t="shared" si="479"/>
        <v>24.362743752371692</v>
      </c>
      <c r="Y538" s="18">
        <f t="shared" si="480"/>
        <v>-1.5297385123390426</v>
      </c>
      <c r="Z538" s="32" t="str">
        <f t="shared" si="467"/>
        <v>-9.0475457260384+11.9470746455392i</v>
      </c>
      <c r="AA538" s="18">
        <f t="shared" si="481"/>
        <v>14.986349663972254</v>
      </c>
      <c r="AB538" s="18">
        <f t="shared" si="482"/>
        <v>2.2189544766520268</v>
      </c>
      <c r="AC538" s="68" t="str">
        <f t="shared" si="483"/>
        <v>-0.139506073841974+0.109057943427892i</v>
      </c>
      <c r="AD538" s="66">
        <f t="shared" si="484"/>
        <v>-15.03685166110361</v>
      </c>
      <c r="AE538" s="63">
        <f t="shared" si="485"/>
        <v>141.98371905832104</v>
      </c>
      <c r="AF538" s="51" t="e">
        <f t="shared" si="486"/>
        <v>#NUM!</v>
      </c>
      <c r="AG538" s="51" t="str">
        <f t="shared" si="468"/>
        <v>1-5287.79231639027i</v>
      </c>
      <c r="AH538" s="51">
        <f t="shared" si="487"/>
        <v>5287.7924109476889</v>
      </c>
      <c r="AI538" s="51">
        <f t="shared" si="488"/>
        <v>-1.5706072119567478</v>
      </c>
      <c r="AJ538" s="51" t="str">
        <f t="shared" si="469"/>
        <v>1+17.6259743879675i</v>
      </c>
      <c r="AK538" s="51">
        <f t="shared" si="489"/>
        <v>17.654318823599123</v>
      </c>
      <c r="AL538" s="51">
        <f t="shared" si="490"/>
        <v>1.5141226296303267</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-0.000170731707317073</v>
      </c>
      <c r="AT538" s="32" t="str">
        <f t="shared" si="472"/>
        <v>0.378410749572184i</v>
      </c>
      <c r="AU538" s="32">
        <f t="shared" si="496"/>
        <v>0.37841074957218401</v>
      </c>
      <c r="AV538" s="32">
        <f t="shared" si="497"/>
        <v>1.5707963267948966</v>
      </c>
      <c r="AW538" s="32" t="str">
        <f t="shared" si="473"/>
        <v>1+80.5668980945097i</v>
      </c>
      <c r="AX538" s="32">
        <f t="shared" si="498"/>
        <v>80.573103878224202</v>
      </c>
      <c r="AY538" s="32">
        <f t="shared" si="499"/>
        <v>1.5583849186925767</v>
      </c>
      <c r="AZ538" s="32" t="str">
        <f t="shared" si="474"/>
        <v>1+1530.77106379569i</v>
      </c>
      <c r="BA538" s="32">
        <f t="shared" si="500"/>
        <v>1530.7713904284299</v>
      </c>
      <c r="BB538" s="32">
        <f t="shared" si="501"/>
        <v>1.5701430613384224</v>
      </c>
      <c r="BC538" s="60" t="str">
        <f t="shared" si="502"/>
        <v>-0.00010078587682245+0.00857118637988694i</v>
      </c>
      <c r="BD538" s="51">
        <f t="shared" si="503"/>
        <v>-41.338580778821793</v>
      </c>
      <c r="BE538" s="63">
        <f t="shared" si="504"/>
        <v>90.673691948519746</v>
      </c>
      <c r="BF538" s="60" t="str">
        <f t="shared" si="505"/>
        <v>-0.000920695717353407-0.00120672406047866i</v>
      </c>
      <c r="BG538" s="66">
        <f t="shared" si="506"/>
        <v>-56.375432439925405</v>
      </c>
      <c r="BH538" s="63">
        <f t="shared" si="507"/>
        <v>-127.34258899315924</v>
      </c>
      <c r="BI538" s="60" t="e">
        <f t="shared" si="460"/>
        <v>#NUM!</v>
      </c>
      <c r="BJ538" s="66" t="e">
        <f t="shared" si="508"/>
        <v>#NUM!</v>
      </c>
      <c r="BK538" s="63" t="e">
        <f t="shared" si="461"/>
        <v>#NUM!</v>
      </c>
      <c r="BL538" s="51">
        <f t="shared" si="509"/>
        <v>-56.375432439925405</v>
      </c>
      <c r="BM538" s="63">
        <f t="shared" si="510"/>
        <v>-127.34258899315924</v>
      </c>
    </row>
    <row r="539" spans="14:65" x14ac:dyDescent="0.3">
      <c r="N539" s="11">
        <v>21</v>
      </c>
      <c r="O539" s="52">
        <f t="shared" si="462"/>
        <v>1621810.0973589318</v>
      </c>
      <c r="P539" s="50" t="str">
        <f t="shared" si="463"/>
        <v>23.3035714285714</v>
      </c>
      <c r="Q539" s="18" t="str">
        <f t="shared" si="464"/>
        <v>1+3864.97201571296i</v>
      </c>
      <c r="R539" s="18">
        <f t="shared" si="475"/>
        <v>3864.9721450800007</v>
      </c>
      <c r="S539" s="18">
        <f t="shared" si="476"/>
        <v>1.5705375927151619</v>
      </c>
      <c r="T539" s="18" t="str">
        <f t="shared" si="465"/>
        <v>1+18.0365360733272i</v>
      </c>
      <c r="U539" s="18">
        <f t="shared" si="477"/>
        <v>18.064236311685953</v>
      </c>
      <c r="V539" s="18">
        <f t="shared" si="478"/>
        <v>1.5154100132119588</v>
      </c>
      <c r="W539" s="32" t="str">
        <f t="shared" si="466"/>
        <v>1-24.9092149160827i</v>
      </c>
      <c r="X539" s="18">
        <f t="shared" si="479"/>
        <v>24.929279727573295</v>
      </c>
      <c r="Y539" s="18">
        <f t="shared" si="480"/>
        <v>-1.5306720878639339</v>
      </c>
      <c r="Z539" s="32" t="str">
        <f t="shared" si="467"/>
        <v>-9.5210719675815+12.2253577630353i</v>
      </c>
      <c r="AA539" s="18">
        <f t="shared" si="481"/>
        <v>15.495489145105219</v>
      </c>
      <c r="AB539" s="18">
        <f t="shared" si="482"/>
        <v>2.2324742367951593</v>
      </c>
      <c r="AC539" s="68" t="str">
        <f t="shared" si="483"/>
        <v>-0.136616377244236+0.109728505948129i</v>
      </c>
      <c r="AD539" s="66">
        <f t="shared" si="484"/>
        <v>-15.127996740900095</v>
      </c>
      <c r="AE539" s="63">
        <f t="shared" si="485"/>
        <v>141.22902026656109</v>
      </c>
      <c r="AF539" s="51" t="e">
        <f t="shared" si="486"/>
        <v>#NUM!</v>
      </c>
      <c r="AG539" s="51" t="str">
        <f t="shared" si="468"/>
        <v>1-5410.96082199816i</v>
      </c>
      <c r="AH539" s="51">
        <f t="shared" si="487"/>
        <v>5410.9609144031892</v>
      </c>
      <c r="AI539" s="51">
        <f t="shared" si="488"/>
        <v>-1.5706115167359234</v>
      </c>
      <c r="AJ539" s="51" t="str">
        <f t="shared" si="469"/>
        <v>1+18.0365360733272i</v>
      </c>
      <c r="AK539" s="51">
        <f t="shared" si="489"/>
        <v>18.064236311685953</v>
      </c>
      <c r="AL539" s="51">
        <f t="shared" si="490"/>
        <v>1.5154100132119588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-0.000170731707317073</v>
      </c>
      <c r="AT539" s="32" t="str">
        <f t="shared" si="472"/>
        <v>0.387225068240923i</v>
      </c>
      <c r="AU539" s="32">
        <f t="shared" si="496"/>
        <v>0.38722506824092301</v>
      </c>
      <c r="AV539" s="32">
        <f t="shared" si="497"/>
        <v>1.5707963267948966</v>
      </c>
      <c r="AW539" s="32" t="str">
        <f t="shared" si="473"/>
        <v>1+82.4435422299092i</v>
      </c>
      <c r="AX539" s="32">
        <f t="shared" si="498"/>
        <v>82.44960676325158</v>
      </c>
      <c r="AY539" s="32">
        <f t="shared" si="499"/>
        <v>1.5586674088033985</v>
      </c>
      <c r="AZ539" s="32" t="str">
        <f t="shared" si="474"/>
        <v>1+1566.42730236828i</v>
      </c>
      <c r="BA539" s="32">
        <f t="shared" si="500"/>
        <v>1566.4276215659524</v>
      </c>
      <c r="BB539" s="32">
        <f t="shared" si="501"/>
        <v>1.5701579314715781</v>
      </c>
      <c r="BC539" s="60" t="str">
        <f t="shared" si="502"/>
        <v>-0.0000962504324187328+0.00837613737090593i</v>
      </c>
      <c r="BD539" s="51">
        <f t="shared" si="503"/>
        <v>-41.538550753698004</v>
      </c>
      <c r="BE539" s="63">
        <f t="shared" si="504"/>
        <v>90.658358453286098</v>
      </c>
      <c r="BF539" s="60" t="str">
        <f t="shared" si="505"/>
        <v>-0.000905951653940558-0.0011548789590594i</v>
      </c>
      <c r="BG539" s="66">
        <f t="shared" si="506"/>
        <v>-56.666547494598085</v>
      </c>
      <c r="BH539" s="63">
        <f t="shared" si="507"/>
        <v>-128.11262128015269</v>
      </c>
      <c r="BI539" s="60" t="e">
        <f t="shared" si="460"/>
        <v>#NUM!</v>
      </c>
      <c r="BJ539" s="66" t="e">
        <f t="shared" si="508"/>
        <v>#NUM!</v>
      </c>
      <c r="BK539" s="63" t="e">
        <f t="shared" si="461"/>
        <v>#NUM!</v>
      </c>
      <c r="BL539" s="51">
        <f t="shared" si="509"/>
        <v>-56.666547494598085</v>
      </c>
      <c r="BM539" s="63">
        <f t="shared" si="510"/>
        <v>-128.11262128015269</v>
      </c>
    </row>
    <row r="540" spans="14:65" x14ac:dyDescent="0.3">
      <c r="N540" s="11">
        <v>22</v>
      </c>
      <c r="O540" s="52">
        <f t="shared" si="462"/>
        <v>1659586.9074375622</v>
      </c>
      <c r="P540" s="50" t="str">
        <f t="shared" si="463"/>
        <v>23.3035714285714</v>
      </c>
      <c r="Q540" s="18" t="str">
        <f t="shared" si="464"/>
        <v>1+3954.99877904031i</v>
      </c>
      <c r="R540" s="18">
        <f t="shared" si="475"/>
        <v>3954.9989054625976</v>
      </c>
      <c r="S540" s="18">
        <f t="shared" si="476"/>
        <v>1.5705434822215962</v>
      </c>
      <c r="T540" s="18" t="str">
        <f t="shared" si="465"/>
        <v>1+18.4566609688548i</v>
      </c>
      <c r="U540" s="18">
        <f t="shared" si="477"/>
        <v>18.48373160699019</v>
      </c>
      <c r="V540" s="18">
        <f t="shared" si="478"/>
        <v>1.5166682699722018</v>
      </c>
      <c r="W540" s="32" t="str">
        <f t="shared" si="466"/>
        <v>1-25.4894250668427i</v>
      </c>
      <c r="X540" s="18">
        <f t="shared" si="479"/>
        <v>25.509033502627826</v>
      </c>
      <c r="Y540" s="18">
        <f t="shared" si="480"/>
        <v>-1.5315844802402863</v>
      </c>
      <c r="Z540" s="32" t="str">
        <f t="shared" si="467"/>
        <v>-10.0169148133527+12.5101229270391i</v>
      </c>
      <c r="AA540" s="18">
        <f t="shared" si="481"/>
        <v>16.026283350408921</v>
      </c>
      <c r="AB540" s="18">
        <f t="shared" si="482"/>
        <v>2.245966845099054</v>
      </c>
      <c r="AC540" s="68" t="str">
        <f t="shared" si="483"/>
        <v>-0.133714782855833+0.110322300577202i</v>
      </c>
      <c r="AD540" s="66">
        <f t="shared" si="484"/>
        <v>-15.221460840541701</v>
      </c>
      <c r="AE540" s="63">
        <f t="shared" si="485"/>
        <v>140.47542988174354</v>
      </c>
      <c r="AF540" s="51" t="e">
        <f t="shared" si="486"/>
        <v>#NUM!</v>
      </c>
      <c r="AG540" s="51" t="str">
        <f t="shared" si="468"/>
        <v>1-5536.99829065644i</v>
      </c>
      <c r="AH540" s="51">
        <f t="shared" si="487"/>
        <v>5536.9983809580744</v>
      </c>
      <c r="AI540" s="51">
        <f t="shared" si="488"/>
        <v>-1.5706157235263685</v>
      </c>
      <c r="AJ540" s="51" t="str">
        <f t="shared" si="469"/>
        <v>1+18.4566609688548i</v>
      </c>
      <c r="AK540" s="51">
        <f t="shared" si="489"/>
        <v>18.48373160699019</v>
      </c>
      <c r="AL540" s="51">
        <f t="shared" si="490"/>
        <v>1.5166682699722018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-0.000170731707317073</v>
      </c>
      <c r="AT540" s="32" t="str">
        <f t="shared" si="472"/>
        <v>0.396244698766373i</v>
      </c>
      <c r="AU540" s="32">
        <f t="shared" si="496"/>
        <v>0.39624469876637303</v>
      </c>
      <c r="AV540" s="32">
        <f t="shared" si="497"/>
        <v>1.5707963267948966</v>
      </c>
      <c r="AW540" s="32" t="str">
        <f t="shared" si="473"/>
        <v>1+84.3638990226688i</v>
      </c>
      <c r="AX540" s="32">
        <f t="shared" si="498"/>
        <v>84.369825520188556</v>
      </c>
      <c r="AY540" s="32">
        <f t="shared" si="499"/>
        <v>1.558943470524877</v>
      </c>
      <c r="AZ540" s="32" t="str">
        <f t="shared" si="474"/>
        <v>1+1602.91408143071i</v>
      </c>
      <c r="BA540" s="32">
        <f t="shared" si="500"/>
        <v>1602.914393362558</v>
      </c>
      <c r="BB540" s="32">
        <f t="shared" si="501"/>
        <v>1.5701724631194511</v>
      </c>
      <c r="BC540" s="60" t="str">
        <f t="shared" si="502"/>
        <v>-0.0000919190579339202+0.00818552454825179i</v>
      </c>
      <c r="BD540" s="51">
        <f t="shared" si="503"/>
        <v>-41.738522079732547</v>
      </c>
      <c r="BE540" s="63">
        <f t="shared" si="504"/>
        <v>90.643373883852746</v>
      </c>
      <c r="BF540" s="60" t="str">
        <f t="shared" si="505"/>
        <v>-0.000890754962722353-0.00110466635946874i</v>
      </c>
      <c r="BG540" s="66">
        <f t="shared" si="506"/>
        <v>-56.959982920274243</v>
      </c>
      <c r="BH540" s="63">
        <f t="shared" si="507"/>
        <v>-128.88119623440366</v>
      </c>
      <c r="BI540" s="60" t="e">
        <f t="shared" si="460"/>
        <v>#NUM!</v>
      </c>
      <c r="BJ540" s="66" t="e">
        <f t="shared" si="508"/>
        <v>#NUM!</v>
      </c>
      <c r="BK540" s="63" t="e">
        <f t="shared" si="461"/>
        <v>#NUM!</v>
      </c>
      <c r="BL540" s="51">
        <f t="shared" si="509"/>
        <v>-56.959982920274243</v>
      </c>
      <c r="BM540" s="63">
        <f t="shared" si="510"/>
        <v>-128.88119623440366</v>
      </c>
    </row>
    <row r="541" spans="14:65" x14ac:dyDescent="0.3">
      <c r="N541" s="11">
        <v>23</v>
      </c>
      <c r="O541" s="52">
        <f t="shared" si="462"/>
        <v>1698243.6524617488</v>
      </c>
      <c r="P541" s="50" t="str">
        <f t="shared" si="463"/>
        <v>23.3035714285714</v>
      </c>
      <c r="Q541" s="18" t="str">
        <f t="shared" si="464"/>
        <v>1+4047.12253507091i</v>
      </c>
      <c r="R541" s="18">
        <f t="shared" si="475"/>
        <v>4047.1226586154753</v>
      </c>
      <c r="S541" s="18">
        <f t="shared" si="476"/>
        <v>1.5705492376665138</v>
      </c>
      <c r="T541" s="18" t="str">
        <f t="shared" si="465"/>
        <v>1+18.8865718303309i</v>
      </c>
      <c r="U541" s="18">
        <f t="shared" si="477"/>
        <v>18.913027137458684</v>
      </c>
      <c r="V541" s="18">
        <f t="shared" si="478"/>
        <v>1.5178980511097375</v>
      </c>
      <c r="W541" s="32" t="str">
        <f t="shared" si="466"/>
        <v>1-26.0831500481657i</v>
      </c>
      <c r="X541" s="18">
        <f t="shared" si="479"/>
        <v>26.102312472942437</v>
      </c>
      <c r="Y541" s="18">
        <f t="shared" si="480"/>
        <v>-1.5324761671509086</v>
      </c>
      <c r="Z541" s="32" t="str">
        <f t="shared" si="467"/>
        <v>-10.5361260125066+12.80152112381i</v>
      </c>
      <c r="AA541" s="18">
        <f t="shared" si="481"/>
        <v>16.579773654509637</v>
      </c>
      <c r="AB541" s="18">
        <f t="shared" si="482"/>
        <v>2.2594272495556043</v>
      </c>
      <c r="AC541" s="68" t="str">
        <f t="shared" si="483"/>
        <v>-0.130804485955639+0.110839059916243i</v>
      </c>
      <c r="AD541" s="66">
        <f t="shared" si="484"/>
        <v>-15.317248992207329</v>
      </c>
      <c r="AE541" s="63">
        <f t="shared" si="485"/>
        <v>139.72324712542076</v>
      </c>
      <c r="AF541" s="51" t="e">
        <f t="shared" si="486"/>
        <v>#NUM!</v>
      </c>
      <c r="AG541" s="51" t="str">
        <f t="shared" si="468"/>
        <v>1-5665.97154909928i</v>
      </c>
      <c r="AH541" s="51">
        <f t="shared" si="487"/>
        <v>5665.9716373453984</v>
      </c>
      <c r="AI541" s="51">
        <f t="shared" si="488"/>
        <v>-1.5706198345585782</v>
      </c>
      <c r="AJ541" s="51" t="str">
        <f t="shared" si="469"/>
        <v>1+18.8865718303309i</v>
      </c>
      <c r="AK541" s="51">
        <f t="shared" si="489"/>
        <v>18.913027137458684</v>
      </c>
      <c r="AL541" s="51">
        <f t="shared" si="490"/>
        <v>1.5178980511097375</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-0.000170731707317073</v>
      </c>
      <c r="AT541" s="32" t="str">
        <f t="shared" si="472"/>
        <v>0.405474423476029i</v>
      </c>
      <c r="AU541" s="32">
        <f t="shared" si="496"/>
        <v>0.40547442347602902</v>
      </c>
      <c r="AV541" s="32">
        <f t="shared" si="497"/>
        <v>1.5707963267948966</v>
      </c>
      <c r="AW541" s="32" t="str">
        <f t="shared" si="473"/>
        <v>1+86.3289866713786i</v>
      </c>
      <c r="AX541" s="32">
        <f t="shared" si="498"/>
        <v>86.334778274499925</v>
      </c>
      <c r="AY541" s="32">
        <f t="shared" si="499"/>
        <v>1.5592132500601856</v>
      </c>
      <c r="AZ541" s="32" t="str">
        <f t="shared" si="474"/>
        <v>1+1640.2507467562i</v>
      </c>
      <c r="BA541" s="32">
        <f t="shared" si="500"/>
        <v>1640.2510515876136</v>
      </c>
      <c r="BB541" s="32">
        <f t="shared" si="501"/>
        <v>1.5701866639868891</v>
      </c>
      <c r="BC541" s="60" t="str">
        <f t="shared" si="502"/>
        <v>-0.000087782573873027+0.00799924717695435i</v>
      </c>
      <c r="BD541" s="51">
        <f t="shared" si="503"/>
        <v>-41.938494696130427</v>
      </c>
      <c r="BE541" s="63">
        <f t="shared" si="504"/>
        <v>90.628730304850194</v>
      </c>
      <c r="BF541" s="60" t="str">
        <f t="shared" si="505"/>
        <v>-0.000875146682679957-0.00105606715297872i</v>
      </c>
      <c r="BG541" s="66">
        <f t="shared" si="506"/>
        <v>-57.255743688337773</v>
      </c>
      <c r="BH541" s="63">
        <f t="shared" si="507"/>
        <v>-129.64802256972919</v>
      </c>
      <c r="BI541" s="60" t="e">
        <f t="shared" si="460"/>
        <v>#NUM!</v>
      </c>
      <c r="BJ541" s="66" t="e">
        <f t="shared" si="508"/>
        <v>#NUM!</v>
      </c>
      <c r="BK541" s="63" t="e">
        <f t="shared" si="461"/>
        <v>#NUM!</v>
      </c>
      <c r="BL541" s="51">
        <f t="shared" si="509"/>
        <v>-57.255743688337773</v>
      </c>
      <c r="BM541" s="63">
        <f t="shared" si="510"/>
        <v>-129.64802256972919</v>
      </c>
    </row>
    <row r="542" spans="14:65" x14ac:dyDescent="0.3">
      <c r="N542" s="11">
        <v>24</v>
      </c>
      <c r="O542" s="52">
        <f t="shared" si="462"/>
        <v>1737800.8287493798</v>
      </c>
      <c r="P542" s="50" t="str">
        <f t="shared" si="463"/>
        <v>23.3035714285714</v>
      </c>
      <c r="Q542" s="18" t="str">
        <f t="shared" si="464"/>
        <v>1+4141.39212903956i</v>
      </c>
      <c r="R542" s="18">
        <f t="shared" si="475"/>
        <v>4141.3922497719077</v>
      </c>
      <c r="S542" s="18">
        <f t="shared" si="476"/>
        <v>1.5705548621015262</v>
      </c>
      <c r="T542" s="18" t="str">
        <f t="shared" si="465"/>
        <v>1+19.3264966021846i</v>
      </c>
      <c r="U542" s="18">
        <f t="shared" si="477"/>
        <v>19.352350526854689</v>
      </c>
      <c r="V542" s="18">
        <f t="shared" si="478"/>
        <v>1.5190999937833762</v>
      </c>
      <c r="W542" s="32" t="str">
        <f t="shared" si="466"/>
        <v>1-26.6907046608952i</v>
      </c>
      <c r="X542" s="18">
        <f t="shared" si="479"/>
        <v>26.709431205009455</v>
      </c>
      <c r="Y542" s="18">
        <f t="shared" si="480"/>
        <v>-1.5333476157048858</v>
      </c>
      <c r="Z542" s="32" t="str">
        <f t="shared" si="467"/>
        <v>-11.0798068816081+13.0997068565288i</v>
      </c>
      <c r="AA542" s="18">
        <f t="shared" si="481"/>
        <v>17.157052201958173</v>
      </c>
      <c r="AB542" s="18">
        <f t="shared" si="482"/>
        <v>2.2728503451530333</v>
      </c>
      <c r="AC542" s="68" t="str">
        <f t="shared" si="483"/>
        <v>-0.127888705030336+0.11127869150188i</v>
      </c>
      <c r="AD542" s="66">
        <f t="shared" si="484"/>
        <v>-15.415363862453294</v>
      </c>
      <c r="AE542" s="63">
        <f t="shared" si="485"/>
        <v>138.97277406150968</v>
      </c>
      <c r="AF542" s="51" t="e">
        <f t="shared" si="486"/>
        <v>#NUM!</v>
      </c>
      <c r="AG542" s="51" t="str">
        <f t="shared" si="468"/>
        <v>1-5797.94898065539i</v>
      </c>
      <c r="AH542" s="51">
        <f t="shared" si="487"/>
        <v>5797.949066892782</v>
      </c>
      <c r="AI542" s="51">
        <f t="shared" si="488"/>
        <v>-1.5706238520122759</v>
      </c>
      <c r="AJ542" s="51" t="str">
        <f t="shared" si="469"/>
        <v>1+19.3264966021846i</v>
      </c>
      <c r="AK542" s="51">
        <f t="shared" si="489"/>
        <v>19.352350526854689</v>
      </c>
      <c r="AL542" s="51">
        <f t="shared" si="490"/>
        <v>1.5190999937833762</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-0.000170731707317073</v>
      </c>
      <c r="AT542" s="32" t="str">
        <f t="shared" si="472"/>
        <v>0.414919136092099i</v>
      </c>
      <c r="AU542" s="32">
        <f t="shared" si="496"/>
        <v>0.41491913609209902</v>
      </c>
      <c r="AV542" s="32">
        <f t="shared" si="497"/>
        <v>1.5707963267948966</v>
      </c>
      <c r="AW542" s="32" t="str">
        <f t="shared" si="473"/>
        <v>1+88.3398470915199i</v>
      </c>
      <c r="AX542" s="32">
        <f t="shared" si="498"/>
        <v>88.345506870203181</v>
      </c>
      <c r="AY542" s="32">
        <f t="shared" si="499"/>
        <v>1.5594768902928353</v>
      </c>
      <c r="AZ542" s="32" t="str">
        <f t="shared" si="474"/>
        <v>1+1678.45709473888i</v>
      </c>
      <c r="BA542" s="32">
        <f t="shared" si="500"/>
        <v>1678.4573926314847</v>
      </c>
      <c r="BB542" s="32">
        <f t="shared" si="501"/>
        <v>1.5702005416033571</v>
      </c>
      <c r="BC542" s="60" t="str">
        <f t="shared" si="502"/>
        <v>-0.0000838322134321308+0.00781720679870952i</v>
      </c>
      <c r="BD542" s="51">
        <f t="shared" si="503"/>
        <v>-42.138468544831376</v>
      </c>
      <c r="BE542" s="63">
        <f t="shared" si="504"/>
        <v>90.614419961062822</v>
      </c>
      <c r="BF542" s="60" t="str">
        <f t="shared" si="505"/>
        <v>-0.000859167350544334-0.00100906119345773i</v>
      </c>
      <c r="BG542" s="66">
        <f t="shared" si="506"/>
        <v>-57.553832407284688</v>
      </c>
      <c r="BH542" s="63">
        <f t="shared" si="507"/>
        <v>-130.41280597742758</v>
      </c>
      <c r="BI542" s="60" t="e">
        <f t="shared" si="460"/>
        <v>#NUM!</v>
      </c>
      <c r="BJ542" s="66" t="e">
        <f t="shared" si="508"/>
        <v>#NUM!</v>
      </c>
      <c r="BK542" s="63" t="e">
        <f t="shared" si="461"/>
        <v>#NUM!</v>
      </c>
      <c r="BL542" s="51">
        <f t="shared" si="509"/>
        <v>-57.553832407284688</v>
      </c>
      <c r="BM542" s="63">
        <f t="shared" si="510"/>
        <v>-130.41280597742758</v>
      </c>
    </row>
    <row r="543" spans="14:65" x14ac:dyDescent="0.3">
      <c r="N543" s="11">
        <v>25</v>
      </c>
      <c r="O543" s="52">
        <f t="shared" si="462"/>
        <v>1778279.4100389241</v>
      </c>
      <c r="P543" s="50" t="str">
        <f t="shared" si="463"/>
        <v>23.3035714285714</v>
      </c>
      <c r="Q543" s="18" t="str">
        <f t="shared" si="464"/>
        <v>1+4237.85754393283i</v>
      </c>
      <c r="R543" s="18">
        <f t="shared" si="475"/>
        <v>4237.8576619169735</v>
      </c>
      <c r="S543" s="18">
        <f t="shared" si="476"/>
        <v>1.570560358508782</v>
      </c>
      <c r="T543" s="18" t="str">
        <f t="shared" si="465"/>
        <v>1+19.7766685383532i</v>
      </c>
      <c r="U543" s="18">
        <f t="shared" si="477"/>
        <v>19.801934715473873</v>
      </c>
      <c r="V543" s="18">
        <f t="shared" si="478"/>
        <v>1.5202747213799064</v>
      </c>
      <c r="W543" s="32" t="str">
        <f t="shared" si="466"/>
        <v>1-27.3124110385292i</v>
      </c>
      <c r="X543" s="18">
        <f t="shared" si="479"/>
        <v>27.330711603205131</v>
      </c>
      <c r="Y543" s="18">
        <f t="shared" si="480"/>
        <v>-1.534199282658373</v>
      </c>
      <c r="Z543" s="32" t="str">
        <f t="shared" si="467"/>
        <v>-11.6491106406735+13.404838227218i</v>
      </c>
      <c r="AA543" s="18">
        <f t="shared" si="481"/>
        <v>17.759264247612784</v>
      </c>
      <c r="AB543" s="18">
        <f t="shared" si="482"/>
        <v>2.2862309901492925</v>
      </c>
      <c r="AC543" s="68" t="str">
        <f t="shared" si="483"/>
        <v>-0.124970668795626+0.111641279626751i</v>
      </c>
      <c r="AD543" s="66">
        <f t="shared" si="484"/>
        <v>-15.515805733909113</v>
      </c>
      <c r="AE543" s="63">
        <f t="shared" si="485"/>
        <v>138.2243146664963</v>
      </c>
      <c r="AF543" s="51" t="e">
        <f t="shared" si="486"/>
        <v>#NUM!</v>
      </c>
      <c r="AG543" s="51" t="str">
        <f t="shared" si="468"/>
        <v>1-5933.00056150598i</v>
      </c>
      <c r="AH543" s="51">
        <f t="shared" si="487"/>
        <v>5933.0006457803693</v>
      </c>
      <c r="AI543" s="51">
        <f t="shared" si="488"/>
        <v>-1.5706277780175681</v>
      </c>
      <c r="AJ543" s="51" t="str">
        <f t="shared" si="469"/>
        <v>1+19.7766685383532i</v>
      </c>
      <c r="AK543" s="51">
        <f t="shared" si="489"/>
        <v>19.801934715473873</v>
      </c>
      <c r="AL543" s="51">
        <f t="shared" si="490"/>
        <v>1.5202747213799064</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-0.000170731707317073</v>
      </c>
      <c r="AT543" s="32" t="str">
        <f t="shared" si="472"/>
        <v>0.424583844326229i</v>
      </c>
      <c r="AU543" s="32">
        <f t="shared" si="496"/>
        <v>0.42458384432622898</v>
      </c>
      <c r="AV543" s="32">
        <f t="shared" si="497"/>
        <v>1.5707963267948966</v>
      </c>
      <c r="AW543" s="32" t="str">
        <f t="shared" si="473"/>
        <v>1+90.3975464679052i</v>
      </c>
      <c r="AX543" s="32">
        <f t="shared" si="498"/>
        <v>90.403077422270741</v>
      </c>
      <c r="AY543" s="32">
        <f t="shared" si="499"/>
        <v>1.5597345308616866</v>
      </c>
      <c r="AZ543" s="32" t="str">
        <f t="shared" si="474"/>
        <v>1+1717.5533828902i</v>
      </c>
      <c r="BA543" s="32">
        <f t="shared" si="500"/>
        <v>1717.5536740019422</v>
      </c>
      <c r="BB543" s="32">
        <f t="shared" si="501"/>
        <v>1.5702141033269292</v>
      </c>
      <c r="BC543" s="60" t="str">
        <f t="shared" si="502"/>
        <v>-0.000080059603964167+0.00763930718114609i</v>
      </c>
      <c r="BD543" s="51">
        <f t="shared" si="503"/>
        <v>-42.338443570386787</v>
      </c>
      <c r="BE543" s="63">
        <f t="shared" si="504"/>
        <v>90.600435273359906</v>
      </c>
      <c r="BF543" s="60" t="str">
        <f t="shared" si="505"/>
        <v>-0.000842856926914063-0.000963627284196026i</v>
      </c>
      <c r="BG543" s="66">
        <f t="shared" si="506"/>
        <v>-57.854249304295905</v>
      </c>
      <c r="BH543" s="63">
        <f t="shared" si="507"/>
        <v>-131.17525006014381</v>
      </c>
      <c r="BI543" s="60" t="e">
        <f t="shared" si="460"/>
        <v>#NUM!</v>
      </c>
      <c r="BJ543" s="66" t="e">
        <f t="shared" si="508"/>
        <v>#NUM!</v>
      </c>
      <c r="BK543" s="63" t="e">
        <f t="shared" si="461"/>
        <v>#NUM!</v>
      </c>
      <c r="BL543" s="51">
        <f t="shared" si="509"/>
        <v>-57.854249304295905</v>
      </c>
      <c r="BM543" s="63">
        <f t="shared" si="510"/>
        <v>-131.17525006014381</v>
      </c>
    </row>
    <row r="544" spans="14:65" x14ac:dyDescent="0.3">
      <c r="N544" s="11">
        <v>26</v>
      </c>
      <c r="O544" s="52">
        <f t="shared" si="462"/>
        <v>1819700.8586099846</v>
      </c>
      <c r="P544" s="50" t="str">
        <f t="shared" si="463"/>
        <v>23.3035714285714</v>
      </c>
      <c r="Q544" s="18" t="str">
        <f t="shared" si="464"/>
        <v>1+4336.5699269906i</v>
      </c>
      <c r="R544" s="18">
        <f t="shared" si="475"/>
        <v>4336.5700422890968</v>
      </c>
      <c r="S544" s="18">
        <f t="shared" si="476"/>
        <v>1.5705657298025477</v>
      </c>
      <c r="T544" s="18" t="str">
        <f t="shared" si="465"/>
        <v>1+20.2373263259561i</v>
      </c>
      <c r="U544" s="18">
        <f t="shared" si="477"/>
        <v>20.262018083676558</v>
      </c>
      <c r="V544" s="18">
        <f t="shared" si="478"/>
        <v>1.5214228437792368</v>
      </c>
      <c r="W544" s="32" t="str">
        <f t="shared" si="466"/>
        <v>1-27.9485988180185i</v>
      </c>
      <c r="X544" s="18">
        <f t="shared" si="479"/>
        <v>27.966483080475903</v>
      </c>
      <c r="Y544" s="18">
        <f t="shared" si="480"/>
        <v>-1.5350316146316796</v>
      </c>
      <c r="Z544" s="32" t="str">
        <f t="shared" si="467"/>
        <v>-12.2452448593036+13.7170770205693i</v>
      </c>
      <c r="AA544" s="18">
        <f t="shared" si="481"/>
        <v>18.387610602047555</v>
      </c>
      <c r="AB544" s="18">
        <f t="shared" si="482"/>
        <v>2.2995640224649958</v>
      </c>
      <c r="AC544" s="68" t="str">
        <f t="shared" si="483"/>
        <v>-0.122053603083303+0.111927086007628i</v>
      </c>
      <c r="AD544" s="66">
        <f t="shared" si="484"/>
        <v>-15.618572497319505</v>
      </c>
      <c r="AE544" s="63">
        <f t="shared" si="485"/>
        <v>137.47817389285333</v>
      </c>
      <c r="AF544" s="51" t="e">
        <f t="shared" si="486"/>
        <v>#NUM!</v>
      </c>
      <c r="AG544" s="51" t="str">
        <f t="shared" si="468"/>
        <v>1-6071.19789778685i</v>
      </c>
      <c r="AH544" s="51">
        <f t="shared" si="487"/>
        <v>6071.1979801429197</v>
      </c>
      <c r="AI544" s="51">
        <f t="shared" si="488"/>
        <v>-1.5706316146560746</v>
      </c>
      <c r="AJ544" s="51" t="str">
        <f t="shared" si="469"/>
        <v>1+20.2373263259561i</v>
      </c>
      <c r="AK544" s="51">
        <f t="shared" si="489"/>
        <v>20.262018083676558</v>
      </c>
      <c r="AL544" s="51">
        <f t="shared" si="490"/>
        <v>1.5214228437792368</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-0.000170731707317073</v>
      </c>
      <c r="AT544" s="32" t="str">
        <f t="shared" si="472"/>
        <v>0.434473672534653i</v>
      </c>
      <c r="AU544" s="32">
        <f t="shared" si="496"/>
        <v>0.43447367253465302</v>
      </c>
      <c r="AV544" s="32">
        <f t="shared" si="497"/>
        <v>1.5707963267948966</v>
      </c>
      <c r="AW544" s="32" t="str">
        <f t="shared" si="473"/>
        <v>1+92.5031758199813i</v>
      </c>
      <c r="AX544" s="32">
        <f t="shared" si="498"/>
        <v>92.508580881896421</v>
      </c>
      <c r="AY544" s="32">
        <f t="shared" si="499"/>
        <v>1.5599863082342857</v>
      </c>
      <c r="AZ544" s="32" t="str">
        <f t="shared" si="474"/>
        <v>1+1757.56034057965i</v>
      </c>
      <c r="BA544" s="32">
        <f t="shared" si="500"/>
        <v>1757.5606250648812</v>
      </c>
      <c r="BB544" s="32">
        <f t="shared" si="501"/>
        <v>1.5702273563481914</v>
      </c>
      <c r="BC544" s="60" t="str">
        <f t="shared" si="502"/>
        <v>-0.0000764567492753865+0.00746545426817418i</v>
      </c>
      <c r="BD544" s="51">
        <f t="shared" si="503"/>
        <v>-42.538419719842565</v>
      </c>
      <c r="BE544" s="63">
        <f t="shared" si="504"/>
        <v>90.586768834717205</v>
      </c>
      <c r="BF544" s="60" t="str">
        <f t="shared" si="505"/>
        <v>-0.000826254720230847-0.000919743173236291i</v>
      </c>
      <c r="BG544" s="66">
        <f t="shared" si="506"/>
        <v>-58.156992217162077</v>
      </c>
      <c r="BH544" s="63">
        <f t="shared" si="507"/>
        <v>-131.93505727242948</v>
      </c>
      <c r="BI544" s="60" t="e">
        <f t="shared" si="460"/>
        <v>#NUM!</v>
      </c>
      <c r="BJ544" s="66" t="e">
        <f t="shared" si="508"/>
        <v>#NUM!</v>
      </c>
      <c r="BK544" s="63" t="e">
        <f t="shared" si="461"/>
        <v>#NUM!</v>
      </c>
      <c r="BL544" s="51">
        <f t="shared" si="509"/>
        <v>-58.156992217162077</v>
      </c>
      <c r="BM544" s="63">
        <f t="shared" si="510"/>
        <v>-131.93505727242948</v>
      </c>
    </row>
    <row r="545" spans="14:65" x14ac:dyDescent="0.3">
      <c r="N545" s="11">
        <v>27</v>
      </c>
      <c r="O545" s="52">
        <f t="shared" si="462"/>
        <v>1862087.1366628683</v>
      </c>
      <c r="P545" s="50" t="str">
        <f t="shared" si="463"/>
        <v>23.3035714285714</v>
      </c>
      <c r="Q545" s="18" t="str">
        <f t="shared" si="464"/>
        <v>1+4437.58161682494i</v>
      </c>
      <c r="R545" s="18">
        <f t="shared" si="475"/>
        <v>4437.5817294989229</v>
      </c>
      <c r="S545" s="18">
        <f t="shared" si="476"/>
        <v>1.5705709788307529</v>
      </c>
      <c r="T545" s="18" t="str">
        <f t="shared" si="465"/>
        <v>1+20.7087142118497i</v>
      </c>
      <c r="U545" s="18">
        <f t="shared" si="477"/>
        <v>20.732844578302945</v>
      </c>
      <c r="V545" s="18">
        <f t="shared" si="478"/>
        <v>1.5225449576166825</v>
      </c>
      <c r="W545" s="32" t="str">
        <f t="shared" si="466"/>
        <v>1-28.5996053145445i</v>
      </c>
      <c r="X545" s="18">
        <f t="shared" si="479"/>
        <v>28.61708273300621</v>
      </c>
      <c r="Y545" s="18">
        <f t="shared" si="480"/>
        <v>-1.5358450483226402</v>
      </c>
      <c r="Z545" s="32" t="str">
        <f t="shared" si="467"/>
        <v>-12.8694740181012+14.036588789724i</v>
      </c>
      <c r="AA545" s="18">
        <f t="shared" si="481"/>
        <v>19.04335018725401</v>
      </c>
      <c r="AB545" s="18">
        <f t="shared" si="482"/>
        <v>2.3128442760909524</v>
      </c>
      <c r="AC545" s="68" t="str">
        <f t="shared" si="483"/>
        <v>-0.119140717713451+0.112136549292654i</v>
      </c>
      <c r="AD545" s="66">
        <f t="shared" si="484"/>
        <v>-15.723659653986694</v>
      </c>
      <c r="AE545" s="63">
        <f t="shared" si="485"/>
        <v>136.73465673167289</v>
      </c>
      <c r="AF545" s="51" t="e">
        <f t="shared" si="486"/>
        <v>#NUM!</v>
      </c>
      <c r="AG545" s="51" t="str">
        <f t="shared" si="468"/>
        <v>1-6212.61426355493i</v>
      </c>
      <c r="AH545" s="51">
        <f t="shared" si="487"/>
        <v>6212.6143440363476</v>
      </c>
      <c r="AI545" s="51">
        <f t="shared" si="488"/>
        <v>-1.570635363962031</v>
      </c>
      <c r="AJ545" s="51" t="str">
        <f t="shared" si="469"/>
        <v>1+20.7087142118497i</v>
      </c>
      <c r="AK545" s="51">
        <f t="shared" si="489"/>
        <v>20.732844578302945</v>
      </c>
      <c r="AL545" s="51">
        <f t="shared" si="490"/>
        <v>1.5225449576166825</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-0.000170731707317073</v>
      </c>
      <c r="AT545" s="32" t="str">
        <f t="shared" si="472"/>
        <v>0.444593864435193i</v>
      </c>
      <c r="AU545" s="32">
        <f t="shared" si="496"/>
        <v>0.444593864435193</v>
      </c>
      <c r="AV545" s="32">
        <f t="shared" si="497"/>
        <v>1.5707963267948966</v>
      </c>
      <c r="AW545" s="32" t="str">
        <f t="shared" si="473"/>
        <v>1+94.6578515803013i</v>
      </c>
      <c r="AX545" s="32">
        <f t="shared" si="498"/>
        <v>94.663133614931368</v>
      </c>
      <c r="AY545" s="32">
        <f t="shared" si="499"/>
        <v>1.5602323557785702</v>
      </c>
      <c r="AZ545" s="32" t="str">
        <f t="shared" si="474"/>
        <v>1+1798.49918002573i</v>
      </c>
      <c r="BA545" s="32">
        <f t="shared" si="500"/>
        <v>1798.4994580352875</v>
      </c>
      <c r="BB545" s="32">
        <f t="shared" si="501"/>
        <v>1.5702403076940521</v>
      </c>
      <c r="BC545" s="60" t="str">
        <f t="shared" si="502"/>
        <v>-0.0000730160127154052+0.0072955561313967i</v>
      </c>
      <c r="BD545" s="51">
        <f t="shared" si="503"/>
        <v>-42.738396942626721</v>
      </c>
      <c r="BE545" s="63">
        <f t="shared" si="504"/>
        <v>90.573413406326978</v>
      </c>
      <c r="BF545" s="60" t="str">
        <f t="shared" si="505"/>
        <v>-0.000809399309586202-0.000877385557322385i</v>
      </c>
      <c r="BG545" s="66">
        <f t="shared" si="506"/>
        <v>-58.462056596613408</v>
      </c>
      <c r="BH545" s="63">
        <f t="shared" si="507"/>
        <v>-132.69192986200011</v>
      </c>
      <c r="BI545" s="60" t="e">
        <f t="shared" si="460"/>
        <v>#NUM!</v>
      </c>
      <c r="BJ545" s="66" t="e">
        <f t="shared" si="508"/>
        <v>#NUM!</v>
      </c>
      <c r="BK545" s="63" t="e">
        <f t="shared" si="461"/>
        <v>#NUM!</v>
      </c>
      <c r="BL545" s="51">
        <f t="shared" si="509"/>
        <v>-58.462056596613408</v>
      </c>
      <c r="BM545" s="63">
        <f t="shared" si="510"/>
        <v>-132.69192986200011</v>
      </c>
    </row>
    <row r="546" spans="14:65" x14ac:dyDescent="0.3">
      <c r="N546" s="11">
        <v>28</v>
      </c>
      <c r="O546" s="52">
        <f t="shared" si="462"/>
        <v>1905460.7179632513</v>
      </c>
      <c r="P546" s="50" t="str">
        <f t="shared" si="463"/>
        <v>23.3035714285714</v>
      </c>
      <c r="Q546" s="18" t="str">
        <f t="shared" si="464"/>
        <v>1+4540.9461711709i</v>
      </c>
      <c r="R546" s="18">
        <f t="shared" si="475"/>
        <v>4540.9462812801103</v>
      </c>
      <c r="S546" s="18">
        <f t="shared" si="476"/>
        <v>1.5705761083765011</v>
      </c>
      <c r="T546" s="18" t="str">
        <f t="shared" si="465"/>
        <v>1+21.1910821321309i</v>
      </c>
      <c r="U546" s="18">
        <f t="shared" si="477"/>
        <v>21.214663842039013</v>
      </c>
      <c r="V546" s="18">
        <f t="shared" si="478"/>
        <v>1.5236416465422487</v>
      </c>
      <c r="W546" s="32" t="str">
        <f t="shared" si="466"/>
        <v>1-29.265775700369i</v>
      </c>
      <c r="X546" s="18">
        <f t="shared" si="479"/>
        <v>29.282855518960389</v>
      </c>
      <c r="Y546" s="18">
        <f t="shared" si="480"/>
        <v>-1.5366400107162801</v>
      </c>
      <c r="Z546" s="32" t="str">
        <f t="shared" si="467"/>
        <v>-13.5231221908043+14.3635429440512i</v>
      </c>
      <c r="AA546" s="18">
        <f t="shared" si="481"/>
        <v>19.727802708183866</v>
      </c>
      <c r="AB546" s="18">
        <f t="shared" si="482"/>
        <v>2.3260665974051538</v>
      </c>
      <c r="AC546" s="68" t="str">
        <f t="shared" si="483"/>
        <v>-0.116235193471252+0.112270283413219i</v>
      </c>
      <c r="AD546" s="66">
        <f t="shared" si="484"/>
        <v>-15.831060328571105</v>
      </c>
      <c r="AE546" s="63">
        <f t="shared" si="485"/>
        <v>135.99406728052793</v>
      </c>
      <c r="AF546" s="51" t="e">
        <f t="shared" si="486"/>
        <v>#NUM!</v>
      </c>
      <c r="AG546" s="51" t="str">
        <f t="shared" si="468"/>
        <v>1-6357.32463963927i</v>
      </c>
      <c r="AH546" s="51">
        <f t="shared" si="487"/>
        <v>6357.3247182887053</v>
      </c>
      <c r="AI546" s="51">
        <f t="shared" si="488"/>
        <v>-1.5706390279233686</v>
      </c>
      <c r="AJ546" s="51" t="str">
        <f t="shared" si="469"/>
        <v>1+21.1910821321309i</v>
      </c>
      <c r="AK546" s="51">
        <f t="shared" si="489"/>
        <v>21.214663842039013</v>
      </c>
      <c r="AL546" s="51">
        <f t="shared" si="490"/>
        <v>1.5236416465422487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-0.000170731707317073</v>
      </c>
      <c r="AT546" s="32" t="str">
        <f t="shared" si="472"/>
        <v>0.454949785887554i</v>
      </c>
      <c r="AU546" s="32">
        <f t="shared" si="496"/>
        <v>0.45494978588755403</v>
      </c>
      <c r="AV546" s="32">
        <f t="shared" si="497"/>
        <v>1.5707963267948966</v>
      </c>
      <c r="AW546" s="32" t="str">
        <f t="shared" si="473"/>
        <v>1+96.8627161864748i</v>
      </c>
      <c r="AX546" s="32">
        <f t="shared" si="498"/>
        <v>96.867877993799198</v>
      </c>
      <c r="AY546" s="32">
        <f t="shared" si="499"/>
        <v>1.5604728038329718</v>
      </c>
      <c r="AZ546" s="32" t="str">
        <f t="shared" si="474"/>
        <v>1+1840.39160754303i</v>
      </c>
      <c r="BA546" s="32">
        <f t="shared" si="500"/>
        <v>1840.3918792243182</v>
      </c>
      <c r="BB546" s="32">
        <f t="shared" si="501"/>
        <v>1.5702529642314687</v>
      </c>
      <c r="BC546" s="60" t="str">
        <f t="shared" si="502"/>
        <v>-0.0000697301010253947+0.00712952292256316i</v>
      </c>
      <c r="BD546" s="51">
        <f t="shared" si="503"/>
        <v>-42.938375190442315</v>
      </c>
      <c r="BE546" s="63">
        <f t="shared" si="504"/>
        <v>90.56036191379485</v>
      </c>
      <c r="BF546" s="60" t="str">
        <f t="shared" si="505"/>
        <v>-0.000792328467333751-0.000836530094466408i</v>
      </c>
      <c r="BG546" s="66">
        <f t="shared" si="506"/>
        <v>-58.769435519013413</v>
      </c>
      <c r="BH546" s="63">
        <f t="shared" si="507"/>
        <v>-133.44557080567722</v>
      </c>
      <c r="BI546" s="60" t="e">
        <f t="shared" si="460"/>
        <v>#NUM!</v>
      </c>
      <c r="BJ546" s="66" t="e">
        <f t="shared" si="508"/>
        <v>#NUM!</v>
      </c>
      <c r="BK546" s="63" t="e">
        <f t="shared" si="461"/>
        <v>#NUM!</v>
      </c>
      <c r="BL546" s="51">
        <f t="shared" si="509"/>
        <v>-58.769435519013413</v>
      </c>
      <c r="BM546" s="63">
        <f t="shared" si="510"/>
        <v>-133.44557080567722</v>
      </c>
    </row>
    <row r="547" spans="14:65" x14ac:dyDescent="0.3">
      <c r="N547" s="11">
        <v>29</v>
      </c>
      <c r="O547" s="52">
        <f t="shared" si="462"/>
        <v>1949844.5997580495</v>
      </c>
      <c r="P547" s="50" t="str">
        <f t="shared" si="463"/>
        <v>23.3035714285714</v>
      </c>
      <c r="Q547" s="18" t="str">
        <f t="shared" si="464"/>
        <v>1+4646.71839528327i</v>
      </c>
      <c r="R547" s="18">
        <f t="shared" si="475"/>
        <v>4646.7185028860886</v>
      </c>
      <c r="S547" s="18">
        <f t="shared" si="476"/>
        <v>1.570581121159544</v>
      </c>
      <c r="T547" s="18" t="str">
        <f t="shared" si="465"/>
        <v>1+21.6846858446553i</v>
      </c>
      <c r="U547" s="18">
        <f t="shared" si="477"/>
        <v>21.707731345799218</v>
      </c>
      <c r="V547" s="18">
        <f t="shared" si="478"/>
        <v>1.5247134814767842</v>
      </c>
      <c r="W547" s="32" t="str">
        <f t="shared" si="466"/>
        <v>1-29.9474631878478i</v>
      </c>
      <c r="X547" s="18">
        <f t="shared" si="479"/>
        <v>29.964154441390452</v>
      </c>
      <c r="Y547" s="18">
        <f t="shared" si="480"/>
        <v>-1.5374169192907772</v>
      </c>
      <c r="Z547" s="32" t="str">
        <f t="shared" si="467"/>
        <v>-14.2075758528224+14.6981128389712i</v>
      </c>
      <c r="AA547" s="18">
        <f t="shared" si="481"/>
        <v>20.442351445976858</v>
      </c>
      <c r="AB547" s="18">
        <f t="shared" si="482"/>
        <v>2.3392258612952421</v>
      </c>
      <c r="AC547" s="68" t="str">
        <f t="shared" si="483"/>
        <v>-0.113340169306165+0.112329074799851i</v>
      </c>
      <c r="AD547" s="66">
        <f t="shared" si="484"/>
        <v>-15.940765292119234</v>
      </c>
      <c r="AE547" s="63">
        <f t="shared" si="485"/>
        <v>135.256707822512</v>
      </c>
      <c r="AF547" s="51" t="e">
        <f t="shared" si="486"/>
        <v>#NUM!</v>
      </c>
      <c r="AG547" s="51" t="str">
        <f t="shared" si="468"/>
        <v>1-6505.4057533966i</v>
      </c>
      <c r="AH547" s="51">
        <f t="shared" si="487"/>
        <v>6505.405830255756</v>
      </c>
      <c r="AI547" s="51">
        <f t="shared" si="488"/>
        <v>-1.570642608482768</v>
      </c>
      <c r="AJ547" s="51" t="str">
        <f t="shared" si="469"/>
        <v>1+21.6846858446553i</v>
      </c>
      <c r="AK547" s="51">
        <f t="shared" si="489"/>
        <v>21.707731345799218</v>
      </c>
      <c r="AL547" s="51">
        <f t="shared" si="490"/>
        <v>1.5247134814767842</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-0.000170731707317073</v>
      </c>
      <c r="AT547" s="32" t="str">
        <f t="shared" si="472"/>
        <v>0.465546927738363i</v>
      </c>
      <c r="AU547" s="32">
        <f t="shared" si="496"/>
        <v>0.46554692773836298</v>
      </c>
      <c r="AV547" s="32">
        <f t="shared" si="497"/>
        <v>1.5707963267948966</v>
      </c>
      <c r="AW547" s="32" t="str">
        <f t="shared" si="473"/>
        <v>1+99.1189386868987i</v>
      </c>
      <c r="AX547" s="32">
        <f t="shared" si="498"/>
        <v>99.12398300319245</v>
      </c>
      <c r="AY547" s="32">
        <f t="shared" si="499"/>
        <v>1.5607077797749551</v>
      </c>
      <c r="AZ547" s="32" t="str">
        <f t="shared" si="474"/>
        <v>1+1883.25983505108i</v>
      </c>
      <c r="BA547" s="32">
        <f t="shared" si="500"/>
        <v>1883.2601005481483</v>
      </c>
      <c r="BB547" s="32">
        <f t="shared" si="501"/>
        <v>1.5702653326710889</v>
      </c>
      <c r="BC547" s="60" t="str">
        <f t="shared" si="502"/>
        <v>-0.0000665920489105693+0.00696726682704675i</v>
      </c>
      <c r="BD547" s="51">
        <f t="shared" si="503"/>
        <v>-43.138354417165246</v>
      </c>
      <c r="BE547" s="63">
        <f t="shared" si="504"/>
        <v>90.547607443421498</v>
      </c>
      <c r="BF547" s="60" t="str">
        <f t="shared" si="505"/>
        <v>-0.000775079082467887-0.000797151425021856i</v>
      </c>
      <c r="BG547" s="66">
        <f t="shared" si="506"/>
        <v>-59.079119709284484</v>
      </c>
      <c r="BH547" s="63">
        <f t="shared" si="507"/>
        <v>-134.19568473406653</v>
      </c>
      <c r="BI547" s="60" t="e">
        <f t="shared" si="460"/>
        <v>#NUM!</v>
      </c>
      <c r="BJ547" s="66" t="e">
        <f t="shared" si="508"/>
        <v>#NUM!</v>
      </c>
      <c r="BK547" s="63" t="e">
        <f t="shared" si="461"/>
        <v>#NUM!</v>
      </c>
      <c r="BL547" s="51">
        <f t="shared" si="509"/>
        <v>-59.079119709284484</v>
      </c>
      <c r="BM547" s="63">
        <f t="shared" si="510"/>
        <v>-134.19568473406653</v>
      </c>
    </row>
    <row r="548" spans="14:65" x14ac:dyDescent="0.3">
      <c r="N548" s="11">
        <v>30</v>
      </c>
      <c r="O548" s="52">
        <f t="shared" si="462"/>
        <v>1995262.31496888</v>
      </c>
      <c r="P548" s="50" t="str">
        <f t="shared" si="463"/>
        <v>23.3035714285714</v>
      </c>
      <c r="Q548" s="18" t="str">
        <f t="shared" si="464"/>
        <v>1+4754.95437099545i</v>
      </c>
      <c r="R548" s="18">
        <f t="shared" si="475"/>
        <v>4754.9544761489278</v>
      </c>
      <c r="S548" s="18">
        <f t="shared" si="476"/>
        <v>1.5705860198377244</v>
      </c>
      <c r="T548" s="18" t="str">
        <f t="shared" si="465"/>
        <v>1+22.1897870646454i</v>
      </c>
      <c r="U548" s="18">
        <f t="shared" si="477"/>
        <v>22.212308524201273</v>
      </c>
      <c r="V548" s="18">
        <f t="shared" si="478"/>
        <v>1.5257610208649075</v>
      </c>
      <c r="W548" s="32" t="str">
        <f t="shared" si="466"/>
        <v>1-30.6450292167106i</v>
      </c>
      <c r="X548" s="18">
        <f t="shared" si="479"/>
        <v>30.661340735412178</v>
      </c>
      <c r="Y548" s="18">
        <f t="shared" si="480"/>
        <v>-1.5381761822197431</v>
      </c>
      <c r="Z548" s="32" t="str">
        <f t="shared" si="467"/>
        <v>-14.9242868221399+15.040475867871i</v>
      </c>
      <c r="AA548" s="18">
        <f t="shared" si="481"/>
        <v>21.188446179026641</v>
      </c>
      <c r="AB548" s="18">
        <f t="shared" si="482"/>
        <v>2.3523169869853104</v>
      </c>
      <c r="AC548" s="68" t="str">
        <f t="shared" si="483"/>
        <v>-0.110458729867756+0.112313878495067i</v>
      </c>
      <c r="AD548" s="66">
        <f t="shared" si="484"/>
        <v>-16.052762995095193</v>
      </c>
      <c r="AE548" s="63">
        <f t="shared" si="485"/>
        <v>134.52287792225374</v>
      </c>
      <c r="AF548" s="51" t="e">
        <f t="shared" si="486"/>
        <v>#NUM!</v>
      </c>
      <c r="AG548" s="51" t="str">
        <f t="shared" si="468"/>
        <v>1-6656.93611939365i</v>
      </c>
      <c r="AH548" s="51">
        <f t="shared" si="487"/>
        <v>6656.9361945032788</v>
      </c>
      <c r="AI548" s="51">
        <f t="shared" si="488"/>
        <v>-1.5706461075386888</v>
      </c>
      <c r="AJ548" s="51" t="str">
        <f t="shared" si="469"/>
        <v>1+22.1897870646454i</v>
      </c>
      <c r="AK548" s="51">
        <f t="shared" si="489"/>
        <v>22.212308524201273</v>
      </c>
      <c r="AL548" s="51">
        <f t="shared" si="490"/>
        <v>1.5257610208649075</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-0.000170731707317073</v>
      </c>
      <c r="AT548" s="32" t="str">
        <f t="shared" si="472"/>
        <v>0.476390908732501i</v>
      </c>
      <c r="AU548" s="32">
        <f t="shared" si="496"/>
        <v>0.47639090873250101</v>
      </c>
      <c r="AV548" s="32">
        <f t="shared" si="497"/>
        <v>1.5707963267948966</v>
      </c>
      <c r="AW548" s="32" t="str">
        <f t="shared" si="473"/>
        <v>1+101.427715360609i</v>
      </c>
      <c r="AX548" s="32">
        <f t="shared" si="498"/>
        <v>101.43264485989073</v>
      </c>
      <c r="AY548" s="32">
        <f t="shared" si="499"/>
        <v>1.5609374080880243</v>
      </c>
      <c r="AZ548" s="32" t="str">
        <f t="shared" si="474"/>
        <v>1+1927.12659185158i</v>
      </c>
      <c r="BA548" s="32">
        <f t="shared" si="500"/>
        <v>1927.1268513051982</v>
      </c>
      <c r="BB548" s="32">
        <f t="shared" si="501"/>
        <v>1.570277419570808</v>
      </c>
      <c r="BC548" s="60" t="str">
        <f t="shared" si="502"/>
        <v>-0.0000635952043045822+0.00680870201832545i</v>
      </c>
      <c r="BD548" s="51">
        <f t="shared" si="503"/>
        <v>-43.338334578746327</v>
      </c>
      <c r="BE548" s="63">
        <f t="shared" si="504"/>
        <v>90.535143238567215</v>
      </c>
      <c r="BF548" s="60" t="str">
        <f t="shared" si="505"/>
        <v>-0.000757687085702157-0.00075922320104139i</v>
      </c>
      <c r="BG548" s="66">
        <f t="shared" si="506"/>
        <v>-59.39109757384152</v>
      </c>
      <c r="BH548" s="63">
        <f t="shared" si="507"/>
        <v>-134.941978839179</v>
      </c>
      <c r="BI548" s="60" t="e">
        <f t="shared" si="460"/>
        <v>#NUM!</v>
      </c>
      <c r="BJ548" s="66" t="e">
        <f t="shared" si="508"/>
        <v>#NUM!</v>
      </c>
      <c r="BK548" s="63" t="e">
        <f t="shared" si="461"/>
        <v>#NUM!</v>
      </c>
      <c r="BL548" s="51">
        <f t="shared" si="509"/>
        <v>-59.39109757384152</v>
      </c>
      <c r="BM548" s="63">
        <f t="shared" si="510"/>
        <v>-134.941978839179</v>
      </c>
    </row>
    <row r="549" spans="14:65" x14ac:dyDescent="0.3">
      <c r="N549" s="11">
        <v>31</v>
      </c>
      <c r="O549" s="52">
        <f t="shared" si="462"/>
        <v>2041737.9446695296</v>
      </c>
      <c r="P549" s="50" t="str">
        <f t="shared" si="463"/>
        <v>23.3035714285714</v>
      </c>
      <c r="Q549" s="18" t="str">
        <f t="shared" si="464"/>
        <v>1+4865.71148645437i</v>
      </c>
      <c r="R549" s="18">
        <f t="shared" si="475"/>
        <v>4865.7115892142638</v>
      </c>
      <c r="S549" s="18">
        <f t="shared" si="476"/>
        <v>1.5705908070083856</v>
      </c>
      <c r="T549" s="18" t="str">
        <f t="shared" si="465"/>
        <v>1+22.7066536034537i</v>
      </c>
      <c r="U549" s="18">
        <f t="shared" si="477"/>
        <v>22.72866291419794</v>
      </c>
      <c r="V549" s="18">
        <f t="shared" si="478"/>
        <v>1.5267848109245898</v>
      </c>
      <c r="W549" s="32" t="str">
        <f t="shared" si="466"/>
        <v>1-31.3588436456988i</v>
      </c>
      <c r="X549" s="18">
        <f t="shared" si="479"/>
        <v>31.374784059741099</v>
      </c>
      <c r="Y549" s="18">
        <f t="shared" si="480"/>
        <v>-1.5389181985708307</v>
      </c>
      <c r="Z549" s="32" t="str">
        <f t="shared" si="467"/>
        <v>-15.6747753388133+15.3908135561602i</v>
      </c>
      <c r="AA549" s="18">
        <f t="shared" si="481"/>
        <v>21.967606238339989</v>
      </c>
      <c r="AB549" s="18">
        <f t="shared" si="482"/>
        <v>2.3653349534688073</v>
      </c>
      <c r="AC549" s="68" t="str">
        <f t="shared" si="483"/>
        <v>-0.10759389348729+0.112225813208978i</v>
      </c>
      <c r="AD549" s="66">
        <f t="shared" si="484"/>
        <v>-16.167039610105189</v>
      </c>
      <c r="AE549" s="63">
        <f t="shared" si="485"/>
        <v>133.79287354451196</v>
      </c>
      <c r="AF549" s="51" t="e">
        <f t="shared" si="486"/>
        <v>#NUM!</v>
      </c>
      <c r="AG549" s="51" t="str">
        <f t="shared" si="468"/>
        <v>1-6811.99608103613i</v>
      </c>
      <c r="AH549" s="51">
        <f t="shared" si="487"/>
        <v>6811.9961544360549</v>
      </c>
      <c r="AI549" s="51">
        <f t="shared" si="488"/>
        <v>-1.5706495269463763</v>
      </c>
      <c r="AJ549" s="51" t="str">
        <f t="shared" si="469"/>
        <v>1+22.7066536034537i</v>
      </c>
      <c r="AK549" s="51">
        <f t="shared" si="489"/>
        <v>22.72866291419794</v>
      </c>
      <c r="AL549" s="51">
        <f t="shared" si="490"/>
        <v>1.5267848109245898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-0.000170731707317073</v>
      </c>
      <c r="AT549" s="32" t="str">
        <f t="shared" si="472"/>
        <v>0.487487478492228i</v>
      </c>
      <c r="AU549" s="32">
        <f t="shared" si="496"/>
        <v>0.48748747849222801</v>
      </c>
      <c r="AV549" s="32">
        <f t="shared" si="497"/>
        <v>1.5707963267948966</v>
      </c>
      <c r="AW549" s="32" t="str">
        <f t="shared" si="473"/>
        <v>1+103.790270351558i</v>
      </c>
      <c r="AX549" s="32">
        <f t="shared" si="498"/>
        <v>103.79508764700523</v>
      </c>
      <c r="AY549" s="32">
        <f t="shared" si="499"/>
        <v>1.5611618104272298</v>
      </c>
      <c r="AZ549" s="32" t="str">
        <f t="shared" si="474"/>
        <v>1+1972.01513667961i</v>
      </c>
      <c r="BA549" s="32">
        <f t="shared" si="500"/>
        <v>1972.015390227343</v>
      </c>
      <c r="BB549" s="32">
        <f t="shared" si="501"/>
        <v>1.5702892313392458</v>
      </c>
      <c r="BC549" s="60" t="str">
        <f t="shared" si="502"/>
        <v>-0.0000607332142949261+0.00665374461344738i</v>
      </c>
      <c r="BD549" s="51">
        <f t="shared" si="503"/>
        <v>-43.538315633118302</v>
      </c>
      <c r="BE549" s="63">
        <f t="shared" si="504"/>
        <v>90.522962696097963</v>
      </c>
      <c r="BF549" s="60" t="str">
        <f t="shared" si="505"/>
        <v>-0.000740187377139-0.00072271812359393i</v>
      </c>
      <c r="BG549" s="66">
        <f t="shared" si="506"/>
        <v>-59.705355243223494</v>
      </c>
      <c r="BH549" s="63">
        <f t="shared" si="507"/>
        <v>-135.68416375939009</v>
      </c>
      <c r="BI549" s="60" t="e">
        <f t="shared" si="460"/>
        <v>#NUM!</v>
      </c>
      <c r="BJ549" s="66" t="e">
        <f t="shared" si="508"/>
        <v>#NUM!</v>
      </c>
      <c r="BK549" s="63" t="e">
        <f t="shared" si="461"/>
        <v>#NUM!</v>
      </c>
      <c r="BL549" s="51">
        <f t="shared" si="509"/>
        <v>-59.705355243223494</v>
      </c>
      <c r="BM549" s="63">
        <f t="shared" si="510"/>
        <v>-135.68416375939009</v>
      </c>
    </row>
    <row r="550" spans="14:65" x14ac:dyDescent="0.3">
      <c r="N550" s="11">
        <v>32</v>
      </c>
      <c r="O550" s="52">
        <f t="shared" si="462"/>
        <v>2089296.1308540432</v>
      </c>
      <c r="P550" s="50" t="str">
        <f t="shared" si="463"/>
        <v>23.3035714285714</v>
      </c>
      <c r="Q550" s="18" t="str">
        <f t="shared" si="464"/>
        <v>1+4979.04846654876i</v>
      </c>
      <c r="R550" s="18">
        <f t="shared" si="475"/>
        <v>4979.0485669695536</v>
      </c>
      <c r="S550" s="18">
        <f t="shared" si="476"/>
        <v>1.5705954852097479</v>
      </c>
      <c r="T550" s="18" t="str">
        <f t="shared" si="465"/>
        <v>1+23.2355595105609i</v>
      </c>
      <c r="U550" s="18">
        <f t="shared" si="477"/>
        <v>23.257068296946141</v>
      </c>
      <c r="V550" s="18">
        <f t="shared" si="478"/>
        <v>1.5277853858933339</v>
      </c>
      <c r="W550" s="32" t="str">
        <f t="shared" si="466"/>
        <v>1-32.0892849486716i</v>
      </c>
      <c r="X550" s="18">
        <f t="shared" si="479"/>
        <v>32.104862692698774</v>
      </c>
      <c r="Y550" s="18">
        <f t="shared" si="480"/>
        <v>-1.5396433585006988</v>
      </c>
      <c r="Z550" s="32" t="str">
        <f t="shared" si="467"/>
        <v>-16.4606332896068+15.7493116575184i</v>
      </c>
      <c r="AA550" s="18">
        <f t="shared" si="481"/>
        <v>22.781423703986469</v>
      </c>
      <c r="AB550" s="18">
        <f t="shared" si="482"/>
        <v>2.3782748144548767</v>
      </c>
      <c r="AC550" s="68" t="str">
        <f t="shared" si="483"/>
        <v>-0.104748600707345+0.112066155375452i</v>
      </c>
      <c r="AD550" s="66">
        <f t="shared" si="484"/>
        <v>-16.283579083924113</v>
      </c>
      <c r="AE550" s="63">
        <f t="shared" si="485"/>
        <v>133.06698620067269</v>
      </c>
      <c r="AF550" s="51" t="e">
        <f t="shared" si="486"/>
        <v>#NUM!</v>
      </c>
      <c r="AG550" s="51" t="str">
        <f t="shared" si="468"/>
        <v>1-6970.66785316828i</v>
      </c>
      <c r="AH550" s="51">
        <f t="shared" si="487"/>
        <v>6970.6679248974178</v>
      </c>
      <c r="AI550" s="51">
        <f t="shared" si="488"/>
        <v>-1.5706528685188457</v>
      </c>
      <c r="AJ550" s="51" t="str">
        <f t="shared" si="469"/>
        <v>1+23.2355595105609i</v>
      </c>
      <c r="AK550" s="51">
        <f t="shared" si="489"/>
        <v>23.257068296946141</v>
      </c>
      <c r="AL550" s="51">
        <f t="shared" si="490"/>
        <v>1.5277853858933339</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-0.000170731707317073</v>
      </c>
      <c r="AT550" s="32" t="str">
        <f t="shared" si="472"/>
        <v>0.498842520565713i</v>
      </c>
      <c r="AU550" s="32">
        <f t="shared" si="496"/>
        <v>0.49884252056571299</v>
      </c>
      <c r="AV550" s="32">
        <f t="shared" si="497"/>
        <v>1.5707963267948966</v>
      </c>
      <c r="AW550" s="32" t="str">
        <f t="shared" si="473"/>
        <v>1+106.207856317675i</v>
      </c>
      <c r="AX550" s="32">
        <f t="shared" si="498"/>
        <v>106.2125639630072</v>
      </c>
      <c r="AY550" s="32">
        <f t="shared" si="499"/>
        <v>1.5613811056832099</v>
      </c>
      <c r="AZ550" s="32" t="str">
        <f t="shared" si="474"/>
        <v>1+2017.94927003583i</v>
      </c>
      <c r="BA550" s="32">
        <f t="shared" si="500"/>
        <v>2017.9495178121131</v>
      </c>
      <c r="BB550" s="32">
        <f t="shared" si="501"/>
        <v>1.5703007742391455</v>
      </c>
      <c r="BC550" s="60" t="str">
        <f t="shared" si="502"/>
        <v>-0.0000580000116797653+0.00650231262946238i</v>
      </c>
      <c r="BD550" s="51">
        <f t="shared" si="503"/>
        <v>-43.738297540106458</v>
      </c>
      <c r="BE550" s="63">
        <f t="shared" si="504"/>
        <v>90.511059362910657</v>
      </c>
      <c r="BF550" s="60" t="str">
        <f t="shared" si="505"/>
        <v>-0.00072261375736863-0.000687607987618564i</v>
      </c>
      <c r="BG550" s="66">
        <f t="shared" si="506"/>
        <v>-60.021876624030568</v>
      </c>
      <c r="BH550" s="63">
        <f t="shared" si="507"/>
        <v>-136.42195443641666</v>
      </c>
      <c r="BI550" s="60" t="e">
        <f t="shared" si="460"/>
        <v>#NUM!</v>
      </c>
      <c r="BJ550" s="66" t="e">
        <f t="shared" si="508"/>
        <v>#NUM!</v>
      </c>
      <c r="BK550" s="63" t="e">
        <f t="shared" si="461"/>
        <v>#NUM!</v>
      </c>
      <c r="BL550" s="51">
        <f t="shared" si="509"/>
        <v>-60.021876624030568</v>
      </c>
      <c r="BM550" s="63">
        <f t="shared" si="510"/>
        <v>-136.42195443641666</v>
      </c>
    </row>
    <row r="551" spans="14:65" x14ac:dyDescent="0.3">
      <c r="N551" s="11">
        <v>33</v>
      </c>
      <c r="O551" s="52">
        <f t="shared" si="462"/>
        <v>2137962.0895022359</v>
      </c>
      <c r="P551" s="50" t="str">
        <f t="shared" si="463"/>
        <v>23.3035714285714</v>
      </c>
      <c r="Q551" s="18" t="str">
        <f t="shared" si="464"/>
        <v>1+5095.02540404556i</v>
      </c>
      <c r="R551" s="18">
        <f t="shared" si="475"/>
        <v>5095.0255021804969</v>
      </c>
      <c r="S551" s="18">
        <f t="shared" si="476"/>
        <v>1.5706000569222547</v>
      </c>
      <c r="T551" s="18" t="str">
        <f t="shared" si="465"/>
        <v>1+23.7767852188793i</v>
      </c>
      <c r="U551" s="18">
        <f t="shared" si="477"/>
        <v>23.79780484298325</v>
      </c>
      <c r="V551" s="18">
        <f t="shared" si="478"/>
        <v>1.5287632682708603</v>
      </c>
      <c r="W551" s="32" t="str">
        <f t="shared" si="466"/>
        <v>1-32.8367404152759i</v>
      </c>
      <c r="X551" s="18">
        <f t="shared" si="479"/>
        <v>32.851963732784888</v>
      </c>
      <c r="Y551" s="18">
        <f t="shared" si="480"/>
        <v>-1.5403520434463527</v>
      </c>
      <c r="Z551" s="32" t="str">
        <f t="shared" si="467"/>
        <v>-17.2835275845951+16.1161602523842i</v>
      </c>
      <c r="AA551" s="18">
        <f t="shared" si="481"/>
        <v>23.631566749752078</v>
      </c>
      <c r="AB551" s="18">
        <f t="shared" si="482"/>
        <v>2.3911317127404281</v>
      </c>
      <c r="AC551" s="68" t="str">
        <f t="shared" si="483"/>
        <v>-0.101925703453519+0.111836332277563i</v>
      </c>
      <c r="AD551" s="66">
        <f t="shared" si="484"/>
        <v>-16.402363198354855</v>
      </c>
      <c r="AE551" s="63">
        <f t="shared" si="485"/>
        <v>132.34550212815176</v>
      </c>
      <c r="AF551" s="51" t="e">
        <f t="shared" si="486"/>
        <v>#NUM!</v>
      </c>
      <c r="AG551" s="51" t="str">
        <f t="shared" si="468"/>
        <v>1-7133.03556566381i</v>
      </c>
      <c r="AH551" s="51">
        <f t="shared" si="487"/>
        <v>7133.0356357601941</v>
      </c>
      <c r="AI551" s="51">
        <f t="shared" si="488"/>
        <v>-1.5706561340278422</v>
      </c>
      <c r="AJ551" s="51" t="str">
        <f t="shared" si="469"/>
        <v>1+23.7767852188793i</v>
      </c>
      <c r="AK551" s="51">
        <f t="shared" si="489"/>
        <v>23.79780484298325</v>
      </c>
      <c r="AL551" s="51">
        <f t="shared" si="490"/>
        <v>1.5287632682708603</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-0.000170731707317073</v>
      </c>
      <c r="AT551" s="32" t="str">
        <f t="shared" si="472"/>
        <v>0.510462055546562i</v>
      </c>
      <c r="AU551" s="32">
        <f t="shared" si="496"/>
        <v>0.51046205554656199</v>
      </c>
      <c r="AV551" s="32">
        <f t="shared" si="497"/>
        <v>1.5707963267948966</v>
      </c>
      <c r="AW551" s="32" t="str">
        <f t="shared" si="473"/>
        <v>1+108.681755095038i</v>
      </c>
      <c r="AX551" s="32">
        <f t="shared" si="498"/>
        <v>108.68635558586836</v>
      </c>
      <c r="AY551" s="32">
        <f t="shared" si="499"/>
        <v>1.5615954100447949</v>
      </c>
      <c r="AZ551" s="32" t="str">
        <f t="shared" si="474"/>
        <v>1+2064.95334680572i</v>
      </c>
      <c r="BA551" s="32">
        <f t="shared" si="500"/>
        <v>2064.9535889419267</v>
      </c>
      <c r="BB551" s="32">
        <f t="shared" si="501"/>
        <v>1.5703120543906925</v>
      </c>
      <c r="BC551" s="60" t="str">
        <f t="shared" si="502"/>
        <v>-0.0000553898021279726+0.0063543259408002i</v>
      </c>
      <c r="BD551" s="51">
        <f t="shared" si="503"/>
        <v>-43.938280261343515</v>
      </c>
      <c r="BE551" s="63">
        <f t="shared" si="504"/>
        <v>90.499426932536508</v>
      </c>
      <c r="BF551" s="60" t="str">
        <f t="shared" si="505"/>
        <v>-0.000704998862769224-0.000653863733804577i</v>
      </c>
      <c r="BG551" s="66">
        <f t="shared" si="506"/>
        <v>-60.340643459698377</v>
      </c>
      <c r="BH551" s="63">
        <f t="shared" si="507"/>
        <v>-137.15507093931171</v>
      </c>
      <c r="BI551" s="60" t="e">
        <f t="shared" si="460"/>
        <v>#NUM!</v>
      </c>
      <c r="BJ551" s="66" t="e">
        <f t="shared" si="508"/>
        <v>#NUM!</v>
      </c>
      <c r="BK551" s="63" t="e">
        <f t="shared" si="461"/>
        <v>#NUM!</v>
      </c>
      <c r="BL551" s="51">
        <f t="shared" si="509"/>
        <v>-60.340643459698377</v>
      </c>
      <c r="BM551" s="63">
        <f t="shared" si="510"/>
        <v>-137.15507093931171</v>
      </c>
    </row>
    <row r="552" spans="14:65" x14ac:dyDescent="0.3">
      <c r="N552" s="11">
        <v>34</v>
      </c>
      <c r="O552" s="52">
        <f t="shared" si="462"/>
        <v>2187761.6239495561</v>
      </c>
      <c r="P552" s="50" t="str">
        <f t="shared" si="463"/>
        <v>23.3035714285714</v>
      </c>
      <c r="Q552" s="18" t="str">
        <f t="shared" si="464"/>
        <v>1+5213.70379145225i</v>
      </c>
      <c r="R552" s="18">
        <f t="shared" si="475"/>
        <v>5213.703887353362</v>
      </c>
      <c r="S552" s="18">
        <f t="shared" si="476"/>
        <v>1.5706045245698879</v>
      </c>
      <c r="T552" s="18" t="str">
        <f t="shared" si="465"/>
        <v>1+24.3306176934438i</v>
      </c>
      <c r="U552" s="18">
        <f t="shared" si="477"/>
        <v>24.351159260793324</v>
      </c>
      <c r="V552" s="18">
        <f t="shared" si="478"/>
        <v>1.5297189690582569</v>
      </c>
      <c r="W552" s="32" t="str">
        <f t="shared" si="466"/>
        <v>1-33.601606356294i</v>
      </c>
      <c r="X552" s="18">
        <f t="shared" si="479"/>
        <v>33.616483303929002</v>
      </c>
      <c r="Y552" s="18">
        <f t="shared" si="480"/>
        <v>-1.5410446263128954</v>
      </c>
      <c r="Z552" s="32" t="str">
        <f t="shared" si="467"/>
        <v>-18.1452036929056+16.4915538487384i</v>
      </c>
      <c r="AA552" s="18">
        <f t="shared" si="481"/>
        <v>24.519783143471585</v>
      </c>
      <c r="AB552" s="18">
        <f t="shared" si="482"/>
        <v>2.4039008939275881</v>
      </c>
      <c r="AC552" s="68" t="str">
        <f t="shared" si="483"/>
        <v>-0.0991279549327778+0.111537914320713i</v>
      </c>
      <c r="AD552" s="66">
        <f t="shared" si="484"/>
        <v>-16.523371639382336</v>
      </c>
      <c r="AE552" s="63">
        <f t="shared" si="485"/>
        <v>131.62870150731504</v>
      </c>
      <c r="AF552" s="51" t="e">
        <f t="shared" si="486"/>
        <v>#NUM!</v>
      </c>
      <c r="AG552" s="51" t="str">
        <f t="shared" si="468"/>
        <v>1-7299.18530803316i</v>
      </c>
      <c r="AH552" s="51">
        <f t="shared" si="487"/>
        <v>7299.1853765339556</v>
      </c>
      <c r="AI552" s="51">
        <f t="shared" si="488"/>
        <v>-1.5706593252047818</v>
      </c>
      <c r="AJ552" s="51" t="str">
        <f t="shared" si="469"/>
        <v>1+24.3306176934438i</v>
      </c>
      <c r="AK552" s="51">
        <f t="shared" si="489"/>
        <v>24.351159260793324</v>
      </c>
      <c r="AL552" s="51">
        <f t="shared" si="490"/>
        <v>1.5297189690582569</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-0.000170731707317073</v>
      </c>
      <c r="AT552" s="32" t="str">
        <f t="shared" si="472"/>
        <v>0.522352244266026i</v>
      </c>
      <c r="AU552" s="32">
        <f t="shared" si="496"/>
        <v>0.522352244266026</v>
      </c>
      <c r="AV552" s="32">
        <f t="shared" si="497"/>
        <v>1.5707963267948966</v>
      </c>
      <c r="AW552" s="32" t="str">
        <f t="shared" si="473"/>
        <v>1+111.213278377525i</v>
      </c>
      <c r="AX552" s="32">
        <f t="shared" si="498"/>
        <v>111.21777415268151</v>
      </c>
      <c r="AY552" s="32">
        <f t="shared" si="499"/>
        <v>1.5618048370602116</v>
      </c>
      <c r="AZ552" s="32" t="str">
        <f t="shared" si="474"/>
        <v>1+2113.05228917299i</v>
      </c>
      <c r="BA552" s="32">
        <f t="shared" si="500"/>
        <v>2113.052525797505</v>
      </c>
      <c r="BB552" s="32">
        <f t="shared" si="501"/>
        <v>1.5703230777747617</v>
      </c>
      <c r="BC552" s="60" t="str">
        <f t="shared" si="502"/>
        <v>-0.0000528970519153677+0.00620970623757703i</v>
      </c>
      <c r="BD552" s="51">
        <f t="shared" si="503"/>
        <v>-44.138263760188408</v>
      </c>
      <c r="BE552" s="63">
        <f t="shared" si="504"/>
        <v>90.488059241820224</v>
      </c>
      <c r="BF552" s="60" t="str">
        <f t="shared" si="505"/>
        <v>-0.00068737410570532-0.00062145550690868i</v>
      </c>
      <c r="BG552" s="66">
        <f t="shared" si="506"/>
        <v>-60.661635399570748</v>
      </c>
      <c r="BH552" s="63">
        <f t="shared" si="507"/>
        <v>-137.8832392508647</v>
      </c>
      <c r="BI552" s="60" t="e">
        <f t="shared" si="460"/>
        <v>#NUM!</v>
      </c>
      <c r="BJ552" s="66" t="e">
        <f t="shared" si="508"/>
        <v>#NUM!</v>
      </c>
      <c r="BK552" s="63" t="e">
        <f t="shared" si="461"/>
        <v>#NUM!</v>
      </c>
      <c r="BL552" s="51">
        <f t="shared" si="509"/>
        <v>-60.661635399570748</v>
      </c>
      <c r="BM552" s="63">
        <f t="shared" si="510"/>
        <v>-137.8832392508647</v>
      </c>
    </row>
    <row r="553" spans="14:65" x14ac:dyDescent="0.3">
      <c r="N553" s="11">
        <v>35</v>
      </c>
      <c r="O553" s="52">
        <f t="shared" si="462"/>
        <v>2238721.1385683389</v>
      </c>
      <c r="P553" s="50" t="str">
        <f t="shared" si="463"/>
        <v>23.3035714285714</v>
      </c>
      <c r="Q553" s="18" t="str">
        <f t="shared" si="464"/>
        <v>1+5335.14655362066i</v>
      </c>
      <c r="R553" s="18">
        <f t="shared" si="475"/>
        <v>5335.1466473387964</v>
      </c>
      <c r="S553" s="18">
        <f t="shared" si="476"/>
        <v>1.5706088905214524</v>
      </c>
      <c r="T553" s="18" t="str">
        <f t="shared" si="465"/>
        <v>1+24.8973505835631i</v>
      </c>
      <c r="U553" s="18">
        <f t="shared" si="477"/>
        <v>24.917424948835496</v>
      </c>
      <c r="V553" s="18">
        <f t="shared" si="478"/>
        <v>1.5306529879935298</v>
      </c>
      <c r="W553" s="32" t="str">
        <f t="shared" si="466"/>
        <v>1-34.384288313772i</v>
      </c>
      <c r="X553" s="18">
        <f t="shared" si="479"/>
        <v>34.398826765524973</v>
      </c>
      <c r="Y553" s="18">
        <f t="shared" si="480"/>
        <v>-1.5417214716577141</v>
      </c>
      <c r="Z553" s="32" t="str">
        <f t="shared" si="467"/>
        <v>-19.0474893450908+16.8756914852346i</v>
      </c>
      <c r="AA553" s="18">
        <f t="shared" si="481"/>
        <v>25.447903910856137</v>
      </c>
      <c r="AB553" s="18">
        <f t="shared" si="482"/>
        <v>2.4165777194130311</v>
      </c>
      <c r="AC553" s="68" t="str">
        <f t="shared" si="483"/>
        <v>-0.0963580003324675+0.111172606540008i</v>
      </c>
      <c r="AD553" s="66">
        <f t="shared" si="484"/>
        <v>-16.646582074023609</v>
      </c>
      <c r="AE553" s="63">
        <f t="shared" si="485"/>
        <v>130.91685772011235</v>
      </c>
      <c r="AF553" s="51" t="e">
        <f t="shared" si="486"/>
        <v>#NUM!</v>
      </c>
      <c r="AG553" s="51" t="str">
        <f t="shared" si="468"/>
        <v>1-7469.20517506894i</v>
      </c>
      <c r="AH553" s="51">
        <f t="shared" si="487"/>
        <v>7469.2052420104665</v>
      </c>
      <c r="AI553" s="51">
        <f t="shared" si="488"/>
        <v>-1.5706624437416685</v>
      </c>
      <c r="AJ553" s="51" t="str">
        <f t="shared" si="469"/>
        <v>1+24.8973505835631i</v>
      </c>
      <c r="AK553" s="51">
        <f t="shared" si="489"/>
        <v>24.917424948835496</v>
      </c>
      <c r="AL553" s="51">
        <f t="shared" si="490"/>
        <v>1.5306529879935298</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-0.000170731707317073</v>
      </c>
      <c r="AT553" s="32" t="str">
        <f t="shared" si="472"/>
        <v>0.534519391059548i</v>
      </c>
      <c r="AU553" s="32">
        <f t="shared" si="496"/>
        <v>0.53451939105954804</v>
      </c>
      <c r="AV553" s="32">
        <f t="shared" si="497"/>
        <v>1.5707963267948966</v>
      </c>
      <c r="AW553" s="32" t="str">
        <f t="shared" si="473"/>
        <v>1+113.80376841229i</v>
      </c>
      <c r="AX553" s="32">
        <f t="shared" si="498"/>
        <v>113.80816185510658</v>
      </c>
      <c r="AY553" s="32">
        <f t="shared" si="499"/>
        <v>1.5620094976969099</v>
      </c>
      <c r="AZ553" s="32" t="str">
        <f t="shared" si="474"/>
        <v>1+2162.27159983351i</v>
      </c>
      <c r="BA553" s="32">
        <f t="shared" si="500"/>
        <v>2162.2718310717937</v>
      </c>
      <c r="BB553" s="32">
        <f t="shared" si="501"/>
        <v>1.570333850236086</v>
      </c>
      <c r="BC553" s="60" t="str">
        <f t="shared" si="502"/>
        <v>-0.0000505164762113872+0.00606837698481194i</v>
      </c>
      <c r="BD553" s="51">
        <f t="shared" si="503"/>
        <v>-44.33824800164885</v>
      </c>
      <c r="BE553" s="63">
        <f t="shared" si="504"/>
        <v>90.4769502676738</v>
      </c>
      <c r="BF553" s="60" t="str">
        <f t="shared" si="505"/>
        <v>-0.000669769620237366-0.000590352719853683i</v>
      </c>
      <c r="BG553" s="66">
        <f t="shared" si="506"/>
        <v>-60.984830075672463</v>
      </c>
      <c r="BH553" s="63">
        <f t="shared" si="507"/>
        <v>-138.60619201221385</v>
      </c>
      <c r="BI553" s="60" t="e">
        <f t="shared" si="460"/>
        <v>#NUM!</v>
      </c>
      <c r="BJ553" s="66" t="e">
        <f t="shared" si="508"/>
        <v>#NUM!</v>
      </c>
      <c r="BK553" s="63" t="e">
        <f t="shared" si="461"/>
        <v>#NUM!</v>
      </c>
      <c r="BL553" s="51">
        <f t="shared" si="509"/>
        <v>-60.984830075672463</v>
      </c>
      <c r="BM553" s="63">
        <f t="shared" si="510"/>
        <v>-138.60619201221385</v>
      </c>
    </row>
    <row r="554" spans="14:65" x14ac:dyDescent="0.3">
      <c r="N554" s="11">
        <v>36</v>
      </c>
      <c r="O554" s="52">
        <f t="shared" si="462"/>
        <v>2290867.6527677765</v>
      </c>
      <c r="P554" s="50" t="str">
        <f t="shared" si="463"/>
        <v>23.3035714285714</v>
      </c>
      <c r="Q554" s="18" t="str">
        <f t="shared" si="464"/>
        <v>1+5459.41808111087i</v>
      </c>
      <c r="R554" s="18">
        <f t="shared" si="475"/>
        <v>5459.4181726957213</v>
      </c>
      <c r="S554" s="18">
        <f t="shared" si="476"/>
        <v>1.5706131570918331</v>
      </c>
      <c r="T554" s="18" t="str">
        <f t="shared" si="465"/>
        <v>1+25.4772843785174i</v>
      </c>
      <c r="U554" s="18">
        <f t="shared" si="477"/>
        <v>25.496902151121159</v>
      </c>
      <c r="V554" s="18">
        <f t="shared" si="478"/>
        <v>1.5315658137835251</v>
      </c>
      <c r="W554" s="32" t="str">
        <f t="shared" si="466"/>
        <v>1-35.1852012760441i</v>
      </c>
      <c r="X554" s="18">
        <f t="shared" si="479"/>
        <v>35.199408927363187</v>
      </c>
      <c r="Y554" s="18">
        <f t="shared" si="480"/>
        <v>-1.5423829358711414</v>
      </c>
      <c r="Z554" s="32" t="str">
        <f t="shared" si="467"/>
        <v>-19.9922984099911+17.2687768367326i</v>
      </c>
      <c r="AA554" s="18">
        <f t="shared" si="481"/>
        <v>26.417847171013104</v>
      </c>
      <c r="AB554" s="18">
        <f t="shared" si="482"/>
        <v>2.4291576785843025</v>
      </c>
      <c r="AC554" s="68" t="str">
        <f t="shared" si="483"/>
        <v>-0.0936183683826643+0.110742239435214i</v>
      </c>
      <c r="AD554" s="66">
        <f t="shared" si="484"/>
        <v>-16.77197023422017</v>
      </c>
      <c r="AE554" s="63">
        <f t="shared" si="485"/>
        <v>130.21023665414498</v>
      </c>
      <c r="AF554" s="51" t="e">
        <f t="shared" si="486"/>
        <v>#NUM!</v>
      </c>
      <c r="AG554" s="51" t="str">
        <f t="shared" si="468"/>
        <v>1-7643.18531355524i</v>
      </c>
      <c r="AH554" s="51">
        <f t="shared" si="487"/>
        <v>7643.1853789729912</v>
      </c>
      <c r="AI554" s="51">
        <f t="shared" si="488"/>
        <v>-1.5706654912919917</v>
      </c>
      <c r="AJ554" s="51" t="str">
        <f t="shared" si="469"/>
        <v>1+25.4772843785174i</v>
      </c>
      <c r="AK554" s="51">
        <f t="shared" si="489"/>
        <v>25.496902151121159</v>
      </c>
      <c r="AL554" s="51">
        <f t="shared" si="490"/>
        <v>1.5315658137835251</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-0.000170731707317073</v>
      </c>
      <c r="AT554" s="32" t="str">
        <f t="shared" si="472"/>
        <v>0.546969947109412i</v>
      </c>
      <c r="AU554" s="32">
        <f t="shared" si="496"/>
        <v>0.54696994710941205</v>
      </c>
      <c r="AV554" s="32">
        <f t="shared" si="497"/>
        <v>1.5707963267948966</v>
      </c>
      <c r="AW554" s="32" t="str">
        <f t="shared" si="473"/>
        <v>1+116.454598711439i</v>
      </c>
      <c r="AX554" s="32">
        <f t="shared" si="498"/>
        <v>116.45889215101735</v>
      </c>
      <c r="AY554" s="32">
        <f t="shared" si="499"/>
        <v>1.5622095004000498</v>
      </c>
      <c r="AZ554" s="32" t="str">
        <f t="shared" si="474"/>
        <v>1+2212.63737551734i</v>
      </c>
      <c r="BA554" s="32">
        <f t="shared" si="500"/>
        <v>2212.6376014919979</v>
      </c>
      <c r="BB554" s="32">
        <f t="shared" si="501"/>
        <v>1.570344377486357</v>
      </c>
      <c r="BC554" s="60" t="str">
        <f t="shared" si="502"/>
        <v>-0.0000482430278915437+0.00593026338253566i</v>
      </c>
      <c r="BD554" s="51">
        <f t="shared" si="503"/>
        <v>-44.538232952306736</v>
      </c>
      <c r="BE554" s="63">
        <f t="shared" si="504"/>
        <v>90.46609412390309</v>
      </c>
      <c r="BF554" s="60" t="str">
        <f t="shared" si="505"/>
        <v>-0.0006522142138656-0.000560524122898293i</v>
      </c>
      <c r="BG554" s="66">
        <f t="shared" si="506"/>
        <v>-61.310203186526913</v>
      </c>
      <c r="BH554" s="63">
        <f t="shared" si="507"/>
        <v>-139.32366922195195</v>
      </c>
      <c r="BI554" s="60" t="e">
        <f t="shared" si="460"/>
        <v>#NUM!</v>
      </c>
      <c r="BJ554" s="66" t="e">
        <f t="shared" si="508"/>
        <v>#NUM!</v>
      </c>
      <c r="BK554" s="63" t="e">
        <f t="shared" si="461"/>
        <v>#NUM!</v>
      </c>
      <c r="BL554" s="51">
        <f t="shared" si="509"/>
        <v>-61.310203186526913</v>
      </c>
      <c r="BM554" s="63">
        <f t="shared" si="510"/>
        <v>-139.32366922195195</v>
      </c>
    </row>
    <row r="555" spans="14:65" x14ac:dyDescent="0.3">
      <c r="N555" s="11">
        <v>37</v>
      </c>
      <c r="O555" s="52">
        <f t="shared" si="462"/>
        <v>2344228.8153199251</v>
      </c>
      <c r="P555" s="50" t="str">
        <f t="shared" si="463"/>
        <v>23.3035714285714</v>
      </c>
      <c r="Q555" s="18" t="str">
        <f t="shared" si="464"/>
        <v>1+5586.5842643316i</v>
      </c>
      <c r="R555" s="18">
        <f t="shared" si="475"/>
        <v>5586.5843538317267</v>
      </c>
      <c r="S555" s="18">
        <f t="shared" si="476"/>
        <v>1.5706173265432215</v>
      </c>
      <c r="T555" s="18" t="str">
        <f t="shared" si="465"/>
        <v>1+26.0707265668808i</v>
      </c>
      <c r="U555" s="18">
        <f t="shared" si="477"/>
        <v>26.089898116417864</v>
      </c>
      <c r="V555" s="18">
        <f t="shared" si="478"/>
        <v>1.532457924332185</v>
      </c>
      <c r="W555" s="32" t="str">
        <f t="shared" si="466"/>
        <v>1-36.0047698977638i</v>
      </c>
      <c r="X555" s="18">
        <f t="shared" si="479"/>
        <v>36.018654269571456</v>
      </c>
      <c r="Y555" s="18">
        <f t="shared" si="480"/>
        <v>-1.5430293673536242</v>
      </c>
      <c r="Z555" s="32" t="str">
        <f t="shared" si="467"/>
        <v>-20.9816349543052+17.6710183222887i</v>
      </c>
      <c r="AA555" s="18">
        <f t="shared" si="481"/>
        <v>27.431622152223966</v>
      </c>
      <c r="AB555" s="18">
        <f t="shared" si="482"/>
        <v>2.441636400166578</v>
      </c>
      <c r="AC555" s="68" t="str">
        <f t="shared" si="483"/>
        <v>-0.0909114638326098+0.11024875923167i</v>
      </c>
      <c r="AD555" s="66">
        <f t="shared" si="484"/>
        <v>-16.899510007075737</v>
      </c>
      <c r="AE555" s="63">
        <f t="shared" si="485"/>
        <v>129.50909605540093</v>
      </c>
      <c r="AF555" s="51" t="e">
        <f t="shared" si="486"/>
        <v>#NUM!</v>
      </c>
      <c r="AG555" s="51" t="str">
        <f t="shared" si="468"/>
        <v>1-7821.21797006426i</v>
      </c>
      <c r="AH555" s="51">
        <f t="shared" si="487"/>
        <v>7821.2180339929218</v>
      </c>
      <c r="AI555" s="51">
        <f t="shared" si="488"/>
        <v>-1.5706684694716027</v>
      </c>
      <c r="AJ555" s="51" t="str">
        <f t="shared" si="469"/>
        <v>1+26.0707265668808i</v>
      </c>
      <c r="AK555" s="51">
        <f t="shared" si="489"/>
        <v>26.089898116417864</v>
      </c>
      <c r="AL555" s="51">
        <f t="shared" si="490"/>
        <v>1.532457924332185</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-0.000170731707317073</v>
      </c>
      <c r="AT555" s="32" t="str">
        <f t="shared" si="472"/>
        <v>0.559710513865236i</v>
      </c>
      <c r="AU555" s="32">
        <f t="shared" si="496"/>
        <v>0.55971051386523596</v>
      </c>
      <c r="AV555" s="32">
        <f t="shared" si="497"/>
        <v>1.5707963267948966</v>
      </c>
      <c r="AW555" s="32" t="str">
        <f t="shared" si="473"/>
        <v>1+119.167174780283i</v>
      </c>
      <c r="AX555" s="32">
        <f t="shared" si="498"/>
        <v>119.17137049272579</v>
      </c>
      <c r="AY555" s="32">
        <f t="shared" si="499"/>
        <v>1.5624049511496727</v>
      </c>
      <c r="AZ555" s="32" t="str">
        <f t="shared" si="474"/>
        <v>1+2264.17632082538i</v>
      </c>
      <c r="BA555" s="32">
        <f t="shared" si="500"/>
        <v>2264.1765416562275</v>
      </c>
      <c r="BB555" s="32">
        <f t="shared" si="501"/>
        <v>1.5703546651072531</v>
      </c>
      <c r="BC555" s="60" t="str">
        <f t="shared" si="502"/>
        <v>-0.000046071886852125+0.00579529232677286i</v>
      </c>
      <c r="BD555" s="51">
        <f t="shared" si="503"/>
        <v>-44.738218580247569</v>
      </c>
      <c r="BE555" s="63">
        <f t="shared" si="504"/>
        <v>90.455485058105594</v>
      </c>
      <c r="BF555" s="60" t="str">
        <f t="shared" si="505"/>
        <v>-0.000634735325736269-0.000531937877125721i</v>
      </c>
      <c r="BG555" s="66">
        <f t="shared" si="506"/>
        <v>-61.637728587323295</v>
      </c>
      <c r="BH555" s="63">
        <f t="shared" si="507"/>
        <v>-140.03541888649346</v>
      </c>
      <c r="BI555" s="60" t="e">
        <f t="shared" si="460"/>
        <v>#NUM!</v>
      </c>
      <c r="BJ555" s="66" t="e">
        <f t="shared" si="508"/>
        <v>#NUM!</v>
      </c>
      <c r="BK555" s="63" t="e">
        <f t="shared" si="461"/>
        <v>#NUM!</v>
      </c>
      <c r="BL555" s="51">
        <f t="shared" si="509"/>
        <v>-61.637728587323295</v>
      </c>
      <c r="BM555" s="63">
        <f t="shared" si="510"/>
        <v>-140.03541888649346</v>
      </c>
    </row>
    <row r="556" spans="14:65" x14ac:dyDescent="0.3">
      <c r="N556" s="11">
        <v>38</v>
      </c>
      <c r="O556" s="52">
        <f t="shared" si="462"/>
        <v>2398832.9190194933</v>
      </c>
      <c r="P556" s="50" t="str">
        <f t="shared" si="463"/>
        <v>23.3035714285714</v>
      </c>
      <c r="Q556" s="18" t="str">
        <f t="shared" si="464"/>
        <v>1+5716.71252847645i</v>
      </c>
      <c r="R556" s="18">
        <f t="shared" si="475"/>
        <v>5716.7126159393038</v>
      </c>
      <c r="S556" s="18">
        <f t="shared" si="476"/>
        <v>1.5706214010863151</v>
      </c>
      <c r="T556" s="18" t="str">
        <f t="shared" si="465"/>
        <v>1+26.6779917995568i</v>
      </c>
      <c r="U556" s="18">
        <f t="shared" si="477"/>
        <v>26.696727261168547</v>
      </c>
      <c r="V556" s="18">
        <f t="shared" si="478"/>
        <v>1.5333297869651208</v>
      </c>
      <c r="W556" s="32" t="str">
        <f t="shared" si="466"/>
        <v>1-36.8434287250627i</v>
      </c>
      <c r="X556" s="18">
        <f t="shared" si="479"/>
        <v>36.856997167685478</v>
      </c>
      <c r="Y556" s="18">
        <f t="shared" si="480"/>
        <v>-1.5436611066894403</v>
      </c>
      <c r="Z556" s="32" t="str">
        <f t="shared" si="467"/>
        <v>-22.0175974934864+18.0826292156628i</v>
      </c>
      <c r="AA556" s="18">
        <f t="shared" si="481"/>
        <v>28.49133339695284</v>
      </c>
      <c r="AB556" s="18">
        <f t="shared" si="482"/>
        <v>2.4540096626725649</v>
      </c>
      <c r="AC556" s="68" t="str">
        <f t="shared" si="483"/>
        <v>-0.0882395608796724+0.109694217668972i</v>
      </c>
      <c r="AD556" s="66">
        <f t="shared" si="484"/>
        <v>-17.029173530710317</v>
      </c>
      <c r="AE556" s="63">
        <f t="shared" si="485"/>
        <v>128.81368493236542</v>
      </c>
      <c r="AF556" s="51" t="e">
        <f t="shared" si="486"/>
        <v>#NUM!</v>
      </c>
      <c r="AG556" s="51" t="str">
        <f t="shared" si="468"/>
        <v>1-8003.39753986704i</v>
      </c>
      <c r="AH556" s="51">
        <f t="shared" si="487"/>
        <v>8003.3976023405075</v>
      </c>
      <c r="AI556" s="51">
        <f t="shared" si="488"/>
        <v>-1.5706713798595713</v>
      </c>
      <c r="AJ556" s="51" t="str">
        <f t="shared" si="469"/>
        <v>1+26.6779917995568i</v>
      </c>
      <c r="AK556" s="51">
        <f t="shared" si="489"/>
        <v>26.696727261168547</v>
      </c>
      <c r="AL556" s="51">
        <f t="shared" si="490"/>
        <v>1.5333297869651208</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-0.000170731707317073</v>
      </c>
      <c r="AT556" s="32" t="str">
        <f t="shared" si="472"/>
        <v>0.572747846544156i</v>
      </c>
      <c r="AU556" s="32">
        <f t="shared" si="496"/>
        <v>0.572747846544156</v>
      </c>
      <c r="AV556" s="32">
        <f t="shared" si="497"/>
        <v>1.5707963267948966</v>
      </c>
      <c r="AW556" s="32" t="str">
        <f t="shared" si="473"/>
        <v>1+121.942934862559i</v>
      </c>
      <c r="AX556" s="32">
        <f t="shared" si="498"/>
        <v>121.94703507217511</v>
      </c>
      <c r="AY556" s="32">
        <f t="shared" si="499"/>
        <v>1.5625959535165872</v>
      </c>
      <c r="AZ556" s="32" t="str">
        <f t="shared" si="474"/>
        <v>1+2316.91576238862i</v>
      </c>
      <c r="BA556" s="32">
        <f t="shared" si="500"/>
        <v>2316.9159781927442</v>
      </c>
      <c r="BB556" s="32">
        <f t="shared" si="501"/>
        <v>1.570364718553398</v>
      </c>
      <c r="BC556" s="60" t="str">
        <f t="shared" si="502"/>
        <v>-0.0000439984498046494+0.00566339237138091i</v>
      </c>
      <c r="BD556" s="51">
        <f t="shared" si="503"/>
        <v>-44.938204854993053</v>
      </c>
      <c r="BE556" s="63">
        <f t="shared" si="504"/>
        <v>90.445117448638058</v>
      </c>
      <c r="BF556" s="60" t="str">
        <f t="shared" si="505"/>
        <v>-0.000617358991640904-0.000504561631469907i</v>
      </c>
      <c r="BG556" s="66">
        <f t="shared" si="506"/>
        <v>-61.967378385703363</v>
      </c>
      <c r="BH556" s="63">
        <f t="shared" si="507"/>
        <v>-140.74119761899647</v>
      </c>
      <c r="BI556" s="60" t="e">
        <f t="shared" si="460"/>
        <v>#NUM!</v>
      </c>
      <c r="BJ556" s="66" t="e">
        <f t="shared" si="508"/>
        <v>#NUM!</v>
      </c>
      <c r="BK556" s="63" t="e">
        <f t="shared" si="461"/>
        <v>#NUM!</v>
      </c>
      <c r="BL556" s="51">
        <f t="shared" si="509"/>
        <v>-61.967378385703363</v>
      </c>
      <c r="BM556" s="63">
        <f t="shared" si="510"/>
        <v>-140.74119761899647</v>
      </c>
    </row>
    <row r="557" spans="14:65" x14ac:dyDescent="0.3">
      <c r="N557" s="11">
        <v>39</v>
      </c>
      <c r="O557" s="52">
        <f t="shared" si="462"/>
        <v>2454708.915685033</v>
      </c>
      <c r="P557" s="50" t="str">
        <f t="shared" si="463"/>
        <v>23.3035714285714</v>
      </c>
      <c r="Q557" s="18" t="str">
        <f t="shared" si="464"/>
        <v>1+5849.87186927352i</v>
      </c>
      <c r="R557" s="18">
        <f t="shared" si="475"/>
        <v>5849.8719547454766</v>
      </c>
      <c r="S557" s="18">
        <f t="shared" si="476"/>
        <v>1.5706253828814902</v>
      </c>
      <c r="T557" s="18" t="str">
        <f t="shared" si="465"/>
        <v>1+27.2994020566098i</v>
      </c>
      <c r="U557" s="18">
        <f t="shared" si="477"/>
        <v>27.317711336208806</v>
      </c>
      <c r="V557" s="18">
        <f t="shared" si="478"/>
        <v>1.5341818586504827</v>
      </c>
      <c r="W557" s="32" t="str">
        <f t="shared" si="466"/>
        <v>1-37.701622425952i</v>
      </c>
      <c r="X557" s="18">
        <f t="shared" si="479"/>
        <v>37.714882122963694</v>
      </c>
      <c r="Y557" s="18">
        <f t="shared" si="480"/>
        <v>-1.544278486817003</v>
      </c>
      <c r="Z557" s="32" t="str">
        <f t="shared" si="467"/>
        <v>-23.1023834429743+18.503827758399i</v>
      </c>
      <c r="AA557" s="18">
        <f t="shared" si="481"/>
        <v>29.599185165451949</v>
      </c>
      <c r="AB557" s="18">
        <f t="shared" si="482"/>
        <v>2.4662734039172687</v>
      </c>
      <c r="AC557" s="68" t="str">
        <f t="shared" si="483"/>
        <v>-0.085604797576999+0.109080761421097i</v>
      </c>
      <c r="AD557" s="66">
        <f t="shared" si="484"/>
        <v>-17.160931294970943</v>
      </c>
      <c r="AE557" s="63">
        <f t="shared" si="485"/>
        <v>128.12424301369433</v>
      </c>
      <c r="AF557" s="51" t="e">
        <f t="shared" si="486"/>
        <v>#NUM!</v>
      </c>
      <c r="AG557" s="51" t="str">
        <f t="shared" si="468"/>
        <v>1-8189.82061698295i</v>
      </c>
      <c r="AH557" s="51">
        <f t="shared" si="487"/>
        <v>8189.8206780343471</v>
      </c>
      <c r="AI557" s="51">
        <f t="shared" si="488"/>
        <v>-1.5706742239990239</v>
      </c>
      <c r="AJ557" s="51" t="str">
        <f t="shared" si="469"/>
        <v>1+27.2994020566098i</v>
      </c>
      <c r="AK557" s="51">
        <f t="shared" si="489"/>
        <v>27.317711336208806</v>
      </c>
      <c r="AL557" s="51">
        <f t="shared" si="490"/>
        <v>1.5341818586504827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-0.000170731707317073</v>
      </c>
      <c r="AT557" s="32" t="str">
        <f t="shared" si="472"/>
        <v>0.586088857712528i</v>
      </c>
      <c r="AU557" s="32">
        <f t="shared" si="496"/>
        <v>0.58608885771252806</v>
      </c>
      <c r="AV557" s="32">
        <f t="shared" si="497"/>
        <v>1.5707963267948966</v>
      </c>
      <c r="AW557" s="32" t="str">
        <f t="shared" si="473"/>
        <v>1+124.783350703005i</v>
      </c>
      <c r="AX557" s="32">
        <f t="shared" si="498"/>
        <v>124.78735758348736</v>
      </c>
      <c r="AY557" s="32">
        <f t="shared" si="499"/>
        <v>1.5627826087169998</v>
      </c>
      <c r="AZ557" s="32" t="str">
        <f t="shared" si="474"/>
        <v>1+2370.88366335709i</v>
      </c>
      <c r="BA557" s="32">
        <f t="shared" si="500"/>
        <v>2370.8838742489129</v>
      </c>
      <c r="BB557" s="32">
        <f t="shared" si="501"/>
        <v>1.5703745431552543</v>
      </c>
      <c r="BC557" s="60" t="str">
        <f t="shared" si="502"/>
        <v>-0.0000420183205285842+0.00553449369072808i</v>
      </c>
      <c r="BD557" s="51">
        <f t="shared" si="503"/>
        <v>-45.138191747435997</v>
      </c>
      <c r="BE557" s="63">
        <f t="shared" si="504"/>
        <v>90.43498580165199</v>
      </c>
      <c r="BF557" s="60" t="str">
        <f t="shared" si="505"/>
        <v>-0.000600109816041501-0.000478362602482849i</v>
      </c>
      <c r="BG557" s="66">
        <f t="shared" si="506"/>
        <v>-62.299123042406954</v>
      </c>
      <c r="BH557" s="63">
        <f t="shared" si="507"/>
        <v>-141.44077118465367</v>
      </c>
      <c r="BI557" s="60" t="e">
        <f t="shared" si="460"/>
        <v>#NUM!</v>
      </c>
      <c r="BJ557" s="66" t="e">
        <f t="shared" si="508"/>
        <v>#NUM!</v>
      </c>
      <c r="BK557" s="63" t="e">
        <f t="shared" si="461"/>
        <v>#NUM!</v>
      </c>
      <c r="BL557" s="51">
        <f t="shared" si="509"/>
        <v>-62.299123042406954</v>
      </c>
      <c r="BM557" s="63">
        <f t="shared" si="510"/>
        <v>-141.44077118465367</v>
      </c>
    </row>
    <row r="558" spans="14:65" x14ac:dyDescent="0.3">
      <c r="N558" s="11">
        <v>40</v>
      </c>
      <c r="O558" s="52">
        <f t="shared" si="462"/>
        <v>2511886.431509587</v>
      </c>
      <c r="P558" s="50" t="str">
        <f t="shared" si="463"/>
        <v>23.3035714285714</v>
      </c>
      <c r="Q558" s="18" t="str">
        <f t="shared" si="464"/>
        <v>1+5986.13288956794i</v>
      </c>
      <c r="R558" s="18">
        <f t="shared" si="475"/>
        <v>5986.1329730943171</v>
      </c>
      <c r="S558" s="18">
        <f t="shared" si="476"/>
        <v>1.5706292740399468</v>
      </c>
      <c r="T558" s="18" t="str">
        <f t="shared" si="465"/>
        <v>1+27.9352868179837i</v>
      </c>
      <c r="U558" s="18">
        <f t="shared" si="477"/>
        <v>27.953179597373428</v>
      </c>
      <c r="V558" s="18">
        <f t="shared" si="478"/>
        <v>1.5350145862161213</v>
      </c>
      <c r="W558" s="32" t="str">
        <f t="shared" si="466"/>
        <v>1-38.5798060260917i</v>
      </c>
      <c r="X558" s="18">
        <f t="shared" si="479"/>
        <v>38.592763998071732</v>
      </c>
      <c r="Y558" s="18">
        <f t="shared" si="480"/>
        <v>-1.5448818331957941</v>
      </c>
      <c r="Z558" s="32" t="str">
        <f t="shared" si="467"/>
        <v>-24.2382937792079+18.9348372755398i</v>
      </c>
      <c r="AA558" s="18">
        <f t="shared" si="481"/>
        <v>30.75748604776339</v>
      </c>
      <c r="AB558" s="18">
        <f t="shared" si="482"/>
        <v>2.4784237295689229</v>
      </c>
      <c r="AC558" s="68" t="str">
        <f t="shared" si="483"/>
        <v>-0.0830091712337076+0.108410621251776i</v>
      </c>
      <c r="AD558" s="66">
        <f t="shared" si="484"/>
        <v>-17.294752246230342</v>
      </c>
      <c r="AE558" s="63">
        <f t="shared" si="485"/>
        <v>127.44100026109395</v>
      </c>
      <c r="AF558" s="51" t="e">
        <f t="shared" si="486"/>
        <v>#NUM!</v>
      </c>
      <c r="AG558" s="51" t="str">
        <f t="shared" si="468"/>
        <v>1-8380.58604539513i</v>
      </c>
      <c r="AH558" s="51">
        <f t="shared" si="487"/>
        <v>8380.5861050568274</v>
      </c>
      <c r="AI558" s="51">
        <f t="shared" si="488"/>
        <v>-1.5706770033979602</v>
      </c>
      <c r="AJ558" s="51" t="str">
        <f t="shared" si="469"/>
        <v>1+27.9352868179837i</v>
      </c>
      <c r="AK558" s="51">
        <f t="shared" si="489"/>
        <v>27.953179597373428</v>
      </c>
      <c r="AL558" s="51">
        <f t="shared" si="490"/>
        <v>1.5350145862161213</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-0.000170731707317073</v>
      </c>
      <c r="AT558" s="32" t="str">
        <f t="shared" si="472"/>
        <v>0.599740620951062i</v>
      </c>
      <c r="AU558" s="32">
        <f t="shared" si="496"/>
        <v>0.59974062095106195</v>
      </c>
      <c r="AV558" s="32">
        <f t="shared" si="497"/>
        <v>1.5707963267948966</v>
      </c>
      <c r="AW558" s="32" t="str">
        <f t="shared" si="473"/>
        <v>1+127.689928327697i</v>
      </c>
      <c r="AX558" s="32">
        <f t="shared" si="498"/>
        <v>127.6938440032737</v>
      </c>
      <c r="AY558" s="32">
        <f t="shared" si="499"/>
        <v>1.5629650156659136</v>
      </c>
      <c r="AZ558" s="32" t="str">
        <f t="shared" si="474"/>
        <v>1+2426.10863822625i</v>
      </c>
      <c r="BA558" s="32">
        <f t="shared" si="500"/>
        <v>2426.1088443175895</v>
      </c>
      <c r="BB558" s="32">
        <f t="shared" si="501"/>
        <v>1.5703841441219477</v>
      </c>
      <c r="BC558" s="60" t="str">
        <f t="shared" si="502"/>
        <v>-0.0000401273005617966+0.00540852804319308i</v>
      </c>
      <c r="BD558" s="51">
        <f t="shared" si="503"/>
        <v>-45.338179229778987</v>
      </c>
      <c r="BE558" s="63">
        <f t="shared" si="504"/>
        <v>90.42508474819617</v>
      </c>
      <c r="BF558" s="60" t="str">
        <f t="shared" si="505"/>
        <v>-0.000583010951256734-0.000453307656042785i</v>
      </c>
      <c r="BG558" s="66">
        <f t="shared" si="506"/>
        <v>-62.632931476009325</v>
      </c>
      <c r="BH558" s="63">
        <f t="shared" si="507"/>
        <v>-142.13391499070991</v>
      </c>
      <c r="BI558" s="60" t="e">
        <f t="shared" si="460"/>
        <v>#NUM!</v>
      </c>
      <c r="BJ558" s="66" t="e">
        <f t="shared" si="508"/>
        <v>#NUM!</v>
      </c>
      <c r="BK558" s="63" t="e">
        <f t="shared" si="461"/>
        <v>#NUM!</v>
      </c>
      <c r="BL558" s="51">
        <f t="shared" si="509"/>
        <v>-62.632931476009325</v>
      </c>
      <c r="BM558" s="63">
        <f t="shared" si="510"/>
        <v>-142.13391499070991</v>
      </c>
    </row>
    <row r="559" spans="14:65" x14ac:dyDescent="0.3">
      <c r="N559" s="11">
        <v>41</v>
      </c>
      <c r="O559" s="52">
        <f t="shared" si="462"/>
        <v>2570395.782768866</v>
      </c>
      <c r="P559" s="50" t="str">
        <f t="shared" si="463"/>
        <v>23.3035714285714</v>
      </c>
      <c r="Q559" s="18" t="str">
        <f t="shared" si="464"/>
        <v>1+6125.56783675619i</v>
      </c>
      <c r="R559" s="18">
        <f t="shared" si="475"/>
        <v>6125.5679183812763</v>
      </c>
      <c r="S559" s="18">
        <f t="shared" si="476"/>
        <v>1.5706330766248282</v>
      </c>
      <c r="T559" s="18" t="str">
        <f t="shared" si="465"/>
        <v>1+28.5859832381956i</v>
      </c>
      <c r="U559" s="18">
        <f t="shared" si="477"/>
        <v>28.60346898008002</v>
      </c>
      <c r="V559" s="18">
        <f t="shared" si="478"/>
        <v>1.5358284065630352</v>
      </c>
      <c r="W559" s="32" t="str">
        <f t="shared" si="466"/>
        <v>1-39.4784451500504i</v>
      </c>
      <c r="X559" s="18">
        <f t="shared" si="479"/>
        <v>39.491108258259068</v>
      </c>
      <c r="Y559" s="18">
        <f t="shared" si="480"/>
        <v>-1.5454714639699692</v>
      </c>
      <c r="Z559" s="32" t="str">
        <f t="shared" si="467"/>
        <v>-25.4277379203039+19.3758862940363i</v>
      </c>
      <c r="AA559" s="18">
        <f t="shared" si="481"/>
        <v>31.968653794351191</v>
      </c>
      <c r="AB559" s="18">
        <f t="shared" si="482"/>
        <v>2.4904569207164799</v>
      </c>
      <c r="AC559" s="68" t="str">
        <f t="shared" si="483"/>
        <v>-0.0804545348096806+0.107686101007657i</v>
      </c>
      <c r="AD559" s="66">
        <f t="shared" si="484"/>
        <v>-17.430603895493398</v>
      </c>
      <c r="AE559" s="63">
        <f t="shared" si="485"/>
        <v>126.76417643852855</v>
      </c>
      <c r="AF559" s="51" t="e">
        <f t="shared" si="486"/>
        <v>#NUM!</v>
      </c>
      <c r="AG559" s="51" t="str">
        <f t="shared" si="468"/>
        <v>1-8575.79497145869i</v>
      </c>
      <c r="AH559" s="51">
        <f t="shared" si="487"/>
        <v>8575.7950297623229</v>
      </c>
      <c r="AI559" s="51">
        <f t="shared" si="488"/>
        <v>-1.5706797195300546</v>
      </c>
      <c r="AJ559" s="51" t="str">
        <f t="shared" si="469"/>
        <v>1+28.5859832381956i</v>
      </c>
      <c r="AK559" s="51">
        <f t="shared" si="489"/>
        <v>28.60346898008002</v>
      </c>
      <c r="AL559" s="51">
        <f t="shared" si="490"/>
        <v>1.5358284065630352</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-0.000170731707317073</v>
      </c>
      <c r="AT559" s="32" t="str">
        <f t="shared" si="472"/>
        <v>0.613710374605329i</v>
      </c>
      <c r="AU559" s="32">
        <f t="shared" si="496"/>
        <v>0.61371037460532896</v>
      </c>
      <c r="AV559" s="32">
        <f t="shared" si="497"/>
        <v>1.5707963267948966</v>
      </c>
      <c r="AW559" s="32" t="str">
        <f t="shared" si="473"/>
        <v>1+130.664208842564i</v>
      </c>
      <c r="AX559" s="32">
        <f t="shared" si="498"/>
        <v>130.6680353891233</v>
      </c>
      <c r="AY559" s="32">
        <f t="shared" si="499"/>
        <v>1.5631432710293265</v>
      </c>
      <c r="AZ559" s="32" t="str">
        <f t="shared" si="474"/>
        <v>1+2482.61996800871i</v>
      </c>
      <c r="BA559" s="32">
        <f t="shared" si="500"/>
        <v>2482.6201694088386</v>
      </c>
      <c r="BB559" s="32">
        <f t="shared" si="501"/>
        <v>1.5703935265440312</v>
      </c>
      <c r="BC559" s="60" t="str">
        <f t="shared" si="502"/>
        <v>-0.0000383213803091169+0.00528542873546979i</v>
      </c>
      <c r="BD559" s="51">
        <f t="shared" si="503"/>
        <v>-45.538167275475566</v>
      </c>
      <c r="BE559" s="63">
        <f t="shared" si="504"/>
        <v>90.415409041384024</v>
      </c>
      <c r="BF559" s="60" t="str">
        <f t="shared" si="505"/>
        <v>-0.000566084083850538-0.000429363390212661i</v>
      </c>
      <c r="BG559" s="66">
        <f t="shared" si="506"/>
        <v>-62.968771170968971</v>
      </c>
      <c r="BH559" s="63">
        <f t="shared" si="507"/>
        <v>-142.82041452008741</v>
      </c>
      <c r="BI559" s="60" t="e">
        <f t="shared" si="460"/>
        <v>#NUM!</v>
      </c>
      <c r="BJ559" s="66" t="e">
        <f t="shared" si="508"/>
        <v>#NUM!</v>
      </c>
      <c r="BK559" s="63" t="e">
        <f t="shared" si="461"/>
        <v>#NUM!</v>
      </c>
      <c r="BL559" s="51">
        <f t="shared" si="509"/>
        <v>-62.968771170968971</v>
      </c>
      <c r="BM559" s="63">
        <f t="shared" si="510"/>
        <v>-142.82041452008741</v>
      </c>
    </row>
    <row r="560" spans="14:65" ht="15" thickBot="1" x14ac:dyDescent="0.35">
      <c r="N560" s="11">
        <v>42</v>
      </c>
      <c r="O560" s="52">
        <f t="shared" si="462"/>
        <v>2630267.9918953842</v>
      </c>
      <c r="P560" s="50" t="str">
        <f t="shared" si="463"/>
        <v>23.3035714285714</v>
      </c>
      <c r="Q560" s="18" t="str">
        <f t="shared" si="464"/>
        <v>1+6268.25064109298i</v>
      </c>
      <c r="R560" s="18">
        <f t="shared" si="475"/>
        <v>6268.2507208600518</v>
      </c>
      <c r="S560" s="18">
        <f t="shared" si="476"/>
        <v>1.5706367926523146</v>
      </c>
      <c r="T560" s="18" t="str">
        <f t="shared" si="465"/>
        <v>1+29.2518363251006i</v>
      </c>
      <c r="U560" s="18">
        <f t="shared" si="477"/>
        <v>29.268924277985949</v>
      </c>
      <c r="V560" s="18">
        <f t="shared" si="478"/>
        <v>1.5366237468751127</v>
      </c>
      <c r="W560" s="32" t="str">
        <f t="shared" si="466"/>
        <v>1-40.3980162681866i</v>
      </c>
      <c r="X560" s="18">
        <f t="shared" si="479"/>
        <v>40.410391218159091</v>
      </c>
      <c r="Y560" s="18">
        <f t="shared" si="480"/>
        <v>-1.5460476901286806</v>
      </c>
      <c r="Z560" s="32" t="str">
        <f t="shared" si="467"/>
        <v>-26.6732388367575+19.827208663916i</v>
      </c>
      <c r="AA560" s="18">
        <f t="shared" si="481"/>
        <v>33.2352203760585</v>
      </c>
      <c r="AB560" s="18">
        <f t="shared" si="482"/>
        <v>2.5023694404433883</v>
      </c>
      <c r="AC560" s="61" t="str">
        <f t="shared" si="483"/>
        <v>-0.0779425942956155+0.106909566549023i</v>
      </c>
      <c r="AD560" s="67">
        <f t="shared" si="484"/>
        <v>-17.56845242903907</v>
      </c>
      <c r="AE560" s="65">
        <f t="shared" si="485"/>
        <v>126.09398073833854</v>
      </c>
      <c r="AF560" s="51" t="e">
        <f t="shared" si="486"/>
        <v>#NUM!</v>
      </c>
      <c r="AG560" s="51" t="str">
        <f t="shared" si="468"/>
        <v>1-8775.5508975302i</v>
      </c>
      <c r="AH560" s="51">
        <f t="shared" si="487"/>
        <v>8775.5509545066798</v>
      </c>
      <c r="AI560" s="51">
        <f t="shared" si="488"/>
        <v>-1.5706823738354359</v>
      </c>
      <c r="AJ560" s="51" t="str">
        <f t="shared" si="469"/>
        <v>1+29.2518363251006i</v>
      </c>
      <c r="AK560" s="51">
        <f t="shared" si="489"/>
        <v>29.268924277985949</v>
      </c>
      <c r="AL560" s="51">
        <f t="shared" si="490"/>
        <v>1.5366237468751127</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-0.000170731707317073</v>
      </c>
      <c r="AT560" s="32" t="str">
        <f t="shared" si="472"/>
        <v>0.62800552562363i</v>
      </c>
      <c r="AU560" s="32">
        <f t="shared" si="496"/>
        <v>0.62800552562362999</v>
      </c>
      <c r="AV560" s="32">
        <f t="shared" si="497"/>
        <v>1.5707963267948966</v>
      </c>
      <c r="AW560" s="32" t="str">
        <f t="shared" si="473"/>
        <v>1+133.707769250504i</v>
      </c>
      <c r="AX560" s="32">
        <f t="shared" si="498"/>
        <v>133.71150869669378</v>
      </c>
      <c r="AY560" s="32">
        <f t="shared" si="499"/>
        <v>1.5633174692752532</v>
      </c>
      <c r="AZ560" s="32" t="str">
        <f t="shared" si="474"/>
        <v>1+2540.44761575958i</v>
      </c>
      <c r="BA560" s="32">
        <f t="shared" si="500"/>
        <v>2540.4478125752817</v>
      </c>
      <c r="BB560" s="32">
        <f t="shared" si="501"/>
        <v>1.5704026953961825</v>
      </c>
      <c r="BC560" s="64" t="str">
        <f t="shared" si="502"/>
        <v>-0.0000365967305502813+0.00516513058766079i</v>
      </c>
      <c r="BD560" s="57">
        <f t="shared" si="503"/>
        <v>-45.738155859173517</v>
      </c>
      <c r="BE560" s="65">
        <f t="shared" si="504"/>
        <v>90.405953553625096</v>
      </c>
      <c r="BF560" s="64" t="str">
        <f t="shared" si="505"/>
        <v>-0.000549349428174089-0.000406496218478161i</v>
      </c>
      <c r="BG560" s="67">
        <f t="shared" si="506"/>
        <v>-63.306608288212587</v>
      </c>
      <c r="BH560" s="65">
        <f t="shared" si="507"/>
        <v>-143.50006570803635</v>
      </c>
      <c r="BI560" s="64" t="e">
        <f t="shared" si="460"/>
        <v>#NUM!</v>
      </c>
      <c r="BJ560" s="67" t="e">
        <f t="shared" si="508"/>
        <v>#NUM!</v>
      </c>
      <c r="BK560" s="65" t="e">
        <f t="shared" si="461"/>
        <v>#NUM!</v>
      </c>
      <c r="BL560" s="57">
        <f t="shared" si="509"/>
        <v>-63.306608288212587</v>
      </c>
      <c r="BM560" s="65">
        <f t="shared" si="510"/>
        <v>-143.50006570803635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88671875" customWidth="1"/>
    <col min="2" max="2" width="25.5546875" customWidth="1"/>
    <col min="3" max="3" width="10.1093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1</v>
      </c>
      <c r="D19" s="4" t="s">
        <v>453</v>
      </c>
    </row>
    <row r="20" spans="1:4" x14ac:dyDescent="0.3">
      <c r="A20" t="s">
        <v>75</v>
      </c>
      <c r="B20" s="1">
        <f>CHOOSE(B19,D_limit_min,(1-Constants!B10*Fsw))</f>
        <v>0.9</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88671875" customWidth="1"/>
  </cols>
  <sheetData>
    <row r="2" spans="2:2" x14ac:dyDescent="0.3">
      <c r="B2" t="str">
        <f>"Eff_vs_IOUT"</f>
        <v>Eff_vs_IOUT</v>
      </c>
    </row>
    <row r="3" spans="2:2" ht="379.6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33203125" customWidth="1"/>
  </cols>
  <sheetData>
    <row r="2" ht="294.60000000000002"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14.8</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Marcus Behel</cp:lastModifiedBy>
  <cp:lastPrinted>2018-08-09T07:13:51Z</cp:lastPrinted>
  <dcterms:created xsi:type="dcterms:W3CDTF">2018-06-26T09:13:29Z</dcterms:created>
  <dcterms:modified xsi:type="dcterms:W3CDTF">2022-06-19T15:17:14Z</dcterms:modified>
</cp:coreProperties>
</file>